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\2024\Emprendimiento SAI\Visitas\Visita 2\Visita 2-20240710T195454Z-001\Visita 2\Infraestructura\"/>
    </mc:Choice>
  </mc:AlternateContent>
  <xr:revisionPtr revIDLastSave="0" documentId="13_ncr:1_{FAE202AA-08CE-4CFD-8577-2A4F74101B8F}" xr6:coauthVersionLast="47" xr6:coauthVersionMax="47" xr10:uidLastSave="{00000000-0000-0000-0000-000000000000}"/>
  <bookViews>
    <workbookView xWindow="-120" yWindow="-120" windowWidth="38640" windowHeight="15720" activeTab="1" xr2:uid="{00000000-000D-0000-FFFF-FFFF00000000}"/>
  </bookViews>
  <sheets>
    <sheet name="Formato 1" sheetId="1" r:id="rId1"/>
    <sheet name="Formato 2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27" i="1"/>
  <c r="H135" i="4"/>
  <c r="I135" i="4"/>
  <c r="G135" i="4"/>
  <c r="G136" i="4"/>
  <c r="E135" i="4"/>
  <c r="E136" i="4"/>
  <c r="H134" i="4"/>
  <c r="G134" i="4"/>
  <c r="E134" i="4"/>
  <c r="I133" i="4"/>
  <c r="H132" i="4"/>
  <c r="G132" i="4"/>
  <c r="E132" i="4"/>
  <c r="I131" i="4"/>
  <c r="H130" i="4"/>
  <c r="G130" i="4"/>
  <c r="E130" i="4"/>
  <c r="I129" i="4"/>
  <c r="I128" i="4"/>
  <c r="H118" i="4"/>
  <c r="F88" i="4"/>
  <c r="F87" i="4"/>
  <c r="F48" i="4"/>
  <c r="F46" i="4"/>
  <c r="F33" i="4"/>
  <c r="F31" i="4"/>
  <c r="F30" i="4"/>
  <c r="F29" i="4"/>
  <c r="F28" i="4"/>
  <c r="F27" i="4"/>
  <c r="F26" i="4"/>
  <c r="F32" i="4"/>
  <c r="E22" i="4"/>
  <c r="D22" i="4"/>
  <c r="F21" i="4"/>
  <c r="F20" i="4"/>
  <c r="F19" i="4"/>
  <c r="F18" i="4"/>
  <c r="F17" i="4"/>
  <c r="F16" i="4"/>
  <c r="F22" i="4"/>
  <c r="F15" i="4"/>
  <c r="H8" i="4"/>
  <c r="H9" i="4"/>
  <c r="F7" i="4"/>
  <c r="F6" i="4"/>
  <c r="G22" i="4"/>
  <c r="H120" i="4"/>
  <c r="H121" i="4"/>
  <c r="H23" i="4"/>
  <c r="H53" i="4"/>
  <c r="D129" i="4"/>
  <c r="F43" i="4"/>
  <c r="F41" i="4"/>
  <c r="F39" i="4"/>
  <c r="F44" i="4"/>
  <c r="F42" i="4"/>
  <c r="F40" i="4"/>
  <c r="F34" i="4"/>
  <c r="F8" i="4"/>
  <c r="H136" i="4"/>
  <c r="F37" i="4"/>
  <c r="F35" i="4"/>
  <c r="F38" i="4"/>
  <c r="F36" i="4"/>
  <c r="F47" i="4"/>
  <c r="F52" i="4"/>
  <c r="F129" i="4"/>
  <c r="F9" i="4"/>
  <c r="G8" i="4"/>
  <c r="G52" i="4"/>
  <c r="D131" i="4"/>
  <c r="D128" i="4"/>
  <c r="F55" i="4"/>
  <c r="F118" i="4"/>
  <c r="F23" i="4"/>
  <c r="G6" i="4"/>
  <c r="G7" i="4"/>
  <c r="E23" i="4"/>
  <c r="D23" i="4"/>
  <c r="G118" i="4"/>
  <c r="D133" i="4"/>
  <c r="D135" i="4"/>
  <c r="F128" i="4"/>
  <c r="D130" i="4"/>
  <c r="F130" i="4"/>
  <c r="D132" i="4"/>
  <c r="F132" i="4"/>
  <c r="F131" i="4"/>
  <c r="F120" i="4"/>
  <c r="G120" i="4"/>
  <c r="D136" i="4"/>
  <c r="F136" i="4"/>
  <c r="F135" i="4"/>
  <c r="D134" i="4"/>
  <c r="F134" i="4"/>
  <c r="F133" i="4"/>
  <c r="F54" i="1"/>
  <c r="E36" i="1"/>
  <c r="E34" i="1"/>
  <c r="E31" i="1"/>
  <c r="F31" i="1"/>
  <c r="F21" i="1"/>
  <c r="E21" i="1"/>
  <c r="F13" i="1"/>
  <c r="F44" i="1"/>
  <c r="F42" i="1"/>
  <c r="F43" i="1"/>
  <c r="E13" i="1"/>
  <c r="F32" i="1"/>
  <c r="E32" i="1"/>
  <c r="E22" i="1"/>
  <c r="F22" i="1"/>
  <c r="E44" i="1"/>
  <c r="E42" i="1"/>
  <c r="E43" i="1"/>
  <c r="F64" i="1"/>
  <c r="F65" i="1"/>
  <c r="E64" i="1"/>
  <c r="E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12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MIRYAM BERNAL :</t>
        </r>
        <r>
          <rPr>
            <sz val="8"/>
            <color indexed="81"/>
            <rFont val="Tahoma"/>
            <family val="2"/>
          </rPr>
          <t xml:space="preserve">
DIGITAR EN MILES</t>
        </r>
      </text>
    </comment>
    <comment ref="H12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MIRYAM BERNAL :</t>
        </r>
        <r>
          <rPr>
            <sz val="8"/>
            <color indexed="81"/>
            <rFont val="Tahoma"/>
            <family val="2"/>
          </rPr>
          <t xml:space="preserve">
DIGITAR EN MILES</t>
        </r>
      </text>
    </comment>
  </commentList>
</comments>
</file>

<file path=xl/sharedStrings.xml><?xml version="1.0" encoding="utf-8"?>
<sst xmlns="http://schemas.openxmlformats.org/spreadsheetml/2006/main" count="275" uniqueCount="250">
  <si>
    <t>TOTAL SERVICIOS MES</t>
  </si>
  <si>
    <t>Desayuno</t>
  </si>
  <si>
    <t>Almuerzo</t>
  </si>
  <si>
    <t>Comida</t>
  </si>
  <si>
    <t>Cena</t>
  </si>
  <si>
    <t>Otros Refrigerios</t>
  </si>
  <si>
    <t>Presupuesto</t>
  </si>
  <si>
    <t>(1)</t>
  </si>
  <si>
    <t xml:space="preserve"> VENTAS NETAS ( suma del 2 al 6 menos 7 Sin incluir IVA)</t>
  </si>
  <si>
    <t>(2)   Mas Ventas de Contado</t>
  </si>
  <si>
    <t xml:space="preserve">(3)   Mas Ventas Credito  </t>
  </si>
  <si>
    <t>(OTRO SERVICIO A CREDITO)</t>
  </si>
  <si>
    <t>(4)  Mas Ventas Credito Empleados</t>
  </si>
  <si>
    <t>(5)  Mas Servicio de Aseo y Cafetería (DESECHABLES COBRADOS)</t>
  </si>
  <si>
    <t>(6)  Mas Venta por Costo Reembolsable (ALIMENTACION PERSONAL)</t>
  </si>
  <si>
    <t>(7) Menos  Descuentos</t>
  </si>
  <si>
    <t>(8)</t>
  </si>
  <si>
    <t>COSTOS DE INSUMOS Y MATERIAS PRIMAS ( 9+10+11+12-13-14 )</t>
  </si>
  <si>
    <t>COSTO PORCENTUAL    %</t>
  </si>
  <si>
    <t>(9)  Inventario Inicial</t>
  </si>
  <si>
    <t>(10)  Mas Compras de Materia Prima</t>
  </si>
  <si>
    <t>(11)  Mas Compra Insumos por Caja Menor</t>
  </si>
  <si>
    <t>(12)  Mas Traslado de Otros Centros Recibidos</t>
  </si>
  <si>
    <t>(13)  Menos Remisiones Despachadas otros  cc Y TRASLADOS</t>
  </si>
  <si>
    <t>(14)  Menos Inventario Final</t>
  </si>
  <si>
    <r>
      <t xml:space="preserve">         </t>
    </r>
    <r>
      <rPr>
        <sz val="10"/>
        <rFont val="Arial"/>
        <family val="2"/>
      </rPr>
      <t>Numero de días de stock</t>
    </r>
  </si>
  <si>
    <t>(15)</t>
  </si>
  <si>
    <t>COSTO LABORAL           (16+17+19)</t>
  </si>
  <si>
    <t xml:space="preserve"> COSTO PORCENTUAL  %</t>
  </si>
  <si>
    <t>(16)  Nómina</t>
  </si>
  <si>
    <t>(17)  Prestaciones Sociales (15 x 53,84%)</t>
  </si>
  <si>
    <t>(18)  Vacaciones</t>
  </si>
  <si>
    <t>(19)  Prestacion x vacaciones $ (51% valor Vacaciones)</t>
  </si>
  <si>
    <t>(20)   Subsidio no prestacional.</t>
  </si>
  <si>
    <t>alimentación</t>
  </si>
  <si>
    <t>(21)  Uniformes y Dotación de Seguridad Ind.</t>
  </si>
  <si>
    <t>Nota : No Sumar el valor de las vacaciones, pero , si sumar el valor de las prestaciones por vacaciones</t>
  </si>
  <si>
    <t>(20)</t>
  </si>
  <si>
    <t>COSTOS Y GASTOS GENERALES ( suma del 21 al 40 )</t>
  </si>
  <si>
    <t>COSTO PORCENTUAL %</t>
  </si>
  <si>
    <t>(21)  Impuesto de industria y Comercio  (1.3% Ventas)</t>
  </si>
  <si>
    <t>(22)  Impuesto de Timbre y Publicación Diario Oficial ( Ventas Credito0,75%)</t>
  </si>
  <si>
    <t>(23)  Amortización de Diferidos</t>
  </si>
  <si>
    <t xml:space="preserve">(24)  Depreciaciones </t>
  </si>
  <si>
    <t>(25)  Arrendamiento</t>
  </si>
  <si>
    <t>(26)  Servicios Públicos (agua,energía,gas,teléfono )</t>
  </si>
  <si>
    <t>(27)  Mantenimiento y Reparación de Equipos</t>
  </si>
  <si>
    <t>(28)  Fumigación</t>
  </si>
  <si>
    <r>
      <t>(29)  Fletes y Gastos Flota Terrestre(</t>
    </r>
    <r>
      <rPr>
        <sz val="8"/>
        <rFont val="Arial"/>
        <family val="2"/>
      </rPr>
      <t>TRANSPORTE DE PERSONAL</t>
    </r>
    <r>
      <rPr>
        <sz val="10"/>
        <rFont val="Arial"/>
        <family val="2"/>
      </rPr>
      <t>)</t>
    </r>
  </si>
  <si>
    <t>(30)  Comision cambio menuda</t>
  </si>
  <si>
    <t>(31)  Gastos de Papelería</t>
  </si>
  <si>
    <t>(32)  Vajilla y Menaje( bremen)</t>
  </si>
  <si>
    <t>(33)  Pruebas Microbiológicas</t>
  </si>
  <si>
    <t>(34)  Comisión EPM sobre ventas de contado</t>
  </si>
  <si>
    <t xml:space="preserve">(35)  Decoracion (Imagen Corporativa) </t>
  </si>
  <si>
    <t>(36)  Fotocopias.impresiones y laminacion</t>
  </si>
  <si>
    <t>(37)  internet y leasing</t>
  </si>
  <si>
    <t xml:space="preserve">(38)  Otros </t>
  </si>
  <si>
    <t>UTILIDAD OPERACIONAL ( 1 - 8- 15 - 20 )</t>
  </si>
  <si>
    <t>UTILIDAD PORCENTUAL %</t>
  </si>
  <si>
    <t xml:space="preserve">  </t>
  </si>
  <si>
    <t>CONTRATO</t>
  </si>
  <si>
    <t>MES</t>
  </si>
  <si>
    <t>MARZO 2011</t>
  </si>
  <si>
    <t>SALES</t>
  </si>
  <si>
    <t>PROYECCIONES</t>
  </si>
  <si>
    <t>INGRESOS</t>
  </si>
  <si>
    <t>CANT</t>
  </si>
  <si>
    <t>PRECIO UNI</t>
  </si>
  <si>
    <t>TOTAL</t>
  </si>
  <si>
    <t>%</t>
  </si>
  <si>
    <t>VENTA EN EFECTIVO</t>
  </si>
  <si>
    <t>ALIMENTACION EMPLEADOS</t>
  </si>
  <si>
    <t>FOOD COST</t>
  </si>
  <si>
    <t>Consumo  por diferencia de inventarios</t>
  </si>
  <si>
    <t>Alimentos</t>
  </si>
  <si>
    <t>No Alimentos</t>
  </si>
  <si>
    <t>Total</t>
  </si>
  <si>
    <t>Inventario inicial</t>
  </si>
  <si>
    <t xml:space="preserve"> +Compras </t>
  </si>
  <si>
    <t>notas credito</t>
  </si>
  <si>
    <t xml:space="preserve"> +Efectivo(Caja Menor)</t>
  </si>
  <si>
    <t xml:space="preserve"> +Traslados in </t>
  </si>
  <si>
    <t>Traslados out</t>
  </si>
  <si>
    <t>DIAS DE STOCK</t>
  </si>
  <si>
    <t>Inventario final</t>
  </si>
  <si>
    <t>2 -TOTAL CONSUMO  FOOD COST</t>
  </si>
  <si>
    <t>CUADRO ALIMENTADOR DE NOMINA</t>
  </si>
  <si>
    <t>LABOUR COST</t>
  </si>
  <si>
    <t>SUELDO BASICO</t>
  </si>
  <si>
    <t>P001 + P 002</t>
  </si>
  <si>
    <t>HORAS ORDINARIAS DIURNAS</t>
  </si>
  <si>
    <t>P001</t>
  </si>
  <si>
    <t>DIA ADICIONAL</t>
  </si>
  <si>
    <t>P026</t>
  </si>
  <si>
    <t>DESCANSO DOMINICAL Y FESTIVO</t>
  </si>
  <si>
    <t>P002</t>
  </si>
  <si>
    <t>HORAS EXTRAS</t>
  </si>
  <si>
    <t>P010+P011+P012+P013</t>
  </si>
  <si>
    <t>RECARGO NOCTURNO</t>
  </si>
  <si>
    <t>P003</t>
  </si>
  <si>
    <t>DOMINICAL DIURNO COMPENSADO</t>
  </si>
  <si>
    <t>P006</t>
  </si>
  <si>
    <t>DOMINICALES Y FESTIVOS</t>
  </si>
  <si>
    <t>PO6-PO7-PO8-PO9</t>
  </si>
  <si>
    <t>DOMINICAL NOCTURNO COMPENSADO</t>
  </si>
  <si>
    <t>P007</t>
  </si>
  <si>
    <t>INCAPACIDADES</t>
  </si>
  <si>
    <t>PO17-P019-PO20-P 021 -PO22 - P 023</t>
  </si>
  <si>
    <t>DOMINICAL FESTIVO/LABORADO</t>
  </si>
  <si>
    <t>P008</t>
  </si>
  <si>
    <t>SUBTOTAL</t>
  </si>
  <si>
    <t>DOMINICAL FESTIVO/NOCTURNO</t>
  </si>
  <si>
    <t>P009</t>
  </si>
  <si>
    <t>AUXILIO DE TRANSPORTE</t>
  </si>
  <si>
    <t>P015</t>
  </si>
  <si>
    <t>HORAS EXTRAS DIURNAS</t>
  </si>
  <si>
    <t>P010</t>
  </si>
  <si>
    <t>HORAS EXTRAS NOCTURNAS</t>
  </si>
  <si>
    <t>P011</t>
  </si>
  <si>
    <t>PRESTACIONES SOCIALES</t>
  </si>
  <si>
    <t>Prima 8,33%</t>
  </si>
  <si>
    <t xml:space="preserve">HORAS EXTRAS FESTIVAS DIURNAS </t>
  </si>
  <si>
    <t>P012</t>
  </si>
  <si>
    <t>Cesantias 8,33%</t>
  </si>
  <si>
    <t>HORAS EXTRAS FESTIVAS NOCTURNAS</t>
  </si>
  <si>
    <t>P013</t>
  </si>
  <si>
    <t>Vacaciones 4,17%</t>
  </si>
  <si>
    <t>Intereses a la cesantias 1%</t>
  </si>
  <si>
    <t>INCAPACIDAD 1 DIA - COMPAÑÍA</t>
  </si>
  <si>
    <t>P017</t>
  </si>
  <si>
    <t>APORTES A LA SEGURIDAD SOCIAL</t>
  </si>
  <si>
    <t>E.P.S. 8.5%</t>
  </si>
  <si>
    <t>AUXILIO DE TRANSPORTE NO PRESTACIONAL</t>
  </si>
  <si>
    <t>P018</t>
  </si>
  <si>
    <t>A.F.P. 12%</t>
  </si>
  <si>
    <t>INCAPACIDAD ACCIDENTE DE TRABAJO</t>
  </si>
  <si>
    <t>P019</t>
  </si>
  <si>
    <t>A.R.P. 1,0440%</t>
  </si>
  <si>
    <t>INCAPACIDAD POR MATERNIDAD</t>
  </si>
  <si>
    <t>P020</t>
  </si>
  <si>
    <t>PARAFISCALES</t>
  </si>
  <si>
    <t>Caja de Compensación 4%</t>
  </si>
  <si>
    <t>INCAPACIDAD POR ENFERMEDAD PROFESIONAL</t>
  </si>
  <si>
    <t>P021</t>
  </si>
  <si>
    <t>I.C.B.F. 3%</t>
  </si>
  <si>
    <t>INCAPACIDAD 1 - 3 DIAS -  COMPAÑÍA</t>
  </si>
  <si>
    <t>P022</t>
  </si>
  <si>
    <t>SENA 2%</t>
  </si>
  <si>
    <t>INCAPACIDAD ENFERMEDAD GENERAL</t>
  </si>
  <si>
    <t>P023</t>
  </si>
  <si>
    <t>BONOS DE PRODUCTIVIDAD</t>
  </si>
  <si>
    <t>SALARIO RETROACTIVO</t>
  </si>
  <si>
    <t>P025</t>
  </si>
  <si>
    <t>SUBSIDIO DE TRANSPORTE NO PRESTACIONAL</t>
  </si>
  <si>
    <t>TOTAL MANO DE OBRA</t>
  </si>
  <si>
    <t>VACACIONES DISFRUTADAS</t>
  </si>
  <si>
    <t>P034</t>
  </si>
  <si>
    <t>PRESTACIONES VACACIONES</t>
  </si>
  <si>
    <t>P034 P035</t>
  </si>
  <si>
    <t>DOM. Y FES. VACACIONES</t>
  </si>
  <si>
    <t>P035</t>
  </si>
  <si>
    <t>EXAMENES DE INGRESO Y PERIODICOS</t>
  </si>
  <si>
    <t>UNIFORMES DE DOTACIÓN</t>
  </si>
  <si>
    <t xml:space="preserve">3. TOTAL LABOUR COST </t>
  </si>
  <si>
    <t>OVERHEADS</t>
  </si>
  <si>
    <t>IMPUESTO DE INDUSTRIA Y COMERCIO</t>
  </si>
  <si>
    <t>IMPUESTO DE TIMBRE</t>
  </si>
  <si>
    <t>ALQUILER DE MENAJE</t>
  </si>
  <si>
    <t>ALQUILER OTROS ELEMENTOS</t>
  </si>
  <si>
    <t>ANALISIS MICROBIOLOGICOS</t>
  </si>
  <si>
    <t>ANIMACION MUSICAL</t>
  </si>
  <si>
    <t>ARRENDAMIENTO DE INMUEBLES</t>
  </si>
  <si>
    <t>ARRENDAMIENTO DE MUEBLES</t>
  </si>
  <si>
    <t>ASESORIA TECNICA</t>
  </si>
  <si>
    <t>BOTIQUIN</t>
  </si>
  <si>
    <t>BRINKS</t>
  </si>
  <si>
    <t>CARNETS DEL CLIENTE</t>
  </si>
  <si>
    <t>COMISIONES (EPM 3% sobre $30.000.000)</t>
  </si>
  <si>
    <t>COMISIONES A TERCEROS (cambio de moneda)</t>
  </si>
  <si>
    <t>COMPRAS GASTOS NO DEDUCIBLES</t>
  </si>
  <si>
    <t>CORREO Y AEROMENSAJERIA</t>
  </si>
  <si>
    <t>DECORACION( Festivales y elementos decorativos)</t>
  </si>
  <si>
    <t>EPP</t>
  </si>
  <si>
    <t>ESTUDIOS DE SEGURIDAD</t>
  </si>
  <si>
    <t>FLETES Y ACARREOS</t>
  </si>
  <si>
    <t>FUMIGACION</t>
  </si>
  <si>
    <t>HONORARIOS</t>
  </si>
  <si>
    <t>INSUMOS Y ELEMENTOS DE MANTENIMIENTO</t>
  </si>
  <si>
    <t>INTERNET</t>
  </si>
  <si>
    <t>LAVANDERIA</t>
  </si>
  <si>
    <t>Fact # 1036 - 1057</t>
  </si>
  <si>
    <t>LEASING DE EQUIPOS</t>
  </si>
  <si>
    <t>LIMPIEZA Y MANTENIMIENTO DE TRAMPAS DE GRASA Y CARCAMOS</t>
  </si>
  <si>
    <t>MANTENIMIENTO CORRECTIVO</t>
  </si>
  <si>
    <t>MANTENIMIENTO PREVENTIVO</t>
  </si>
  <si>
    <t>METROLOGIA (Compra o calibracion de basculas y termometros)</t>
  </si>
  <si>
    <t>MOVILIZACION DE ELEMENTOS</t>
  </si>
  <si>
    <t>MOVILIZACION DE PERSONAS</t>
  </si>
  <si>
    <t>OBSEQUIOS Y ATENCIONES (Duldes día de la mujer, gorra y bono empleado del mes)</t>
  </si>
  <si>
    <t>PAPELERIA (Fotocopias y Marión)</t>
  </si>
  <si>
    <t>PAPELERIA PREIMPRESA</t>
  </si>
  <si>
    <t>PARQUEADEROS</t>
  </si>
  <si>
    <t>REPARACIONES COMPUTADORES</t>
  </si>
  <si>
    <t>REPARACIONES LOCATIVAS</t>
  </si>
  <si>
    <t>REPARACIONES MAQUINAS Y EQUIPOS</t>
  </si>
  <si>
    <t>REPOSICION DE BATERIA DE COCINA</t>
  </si>
  <si>
    <t>REPOSICION DE VAJILLA (Bremen)</t>
  </si>
  <si>
    <t>ROLLOS PARA MAQUINA REGISTRADORA</t>
  </si>
  <si>
    <t>SEGUROS (Pólizas)</t>
  </si>
  <si>
    <t>SERVICIO DE ASEO (recolección de resíduos GDA)</t>
  </si>
  <si>
    <t>SERVICIOS PUBLICOS - AGUA</t>
  </si>
  <si>
    <t>SERVICIOS PUBLICOS - ENERGIA</t>
  </si>
  <si>
    <t>SERVICIOS PUBLICOS - GAS</t>
  </si>
  <si>
    <t>SERVICIOS PUBLICOS - CONECTIVIDAD INTERNET MODEM</t>
  </si>
  <si>
    <t>TELEFONIA CELULAR</t>
  </si>
  <si>
    <t>TRANSPORTES</t>
  </si>
  <si>
    <t>VIGILANCIA</t>
  </si>
  <si>
    <t>VISION ESTRATEGICA - OTROS</t>
  </si>
  <si>
    <t>VISION ESTRATEGICA MESEROS</t>
  </si>
  <si>
    <t>COMPRA TONER IMPRESORA</t>
  </si>
  <si>
    <t>ELEMENTOS PARA BARRA DE ENSALADAS</t>
  </si>
  <si>
    <t>DEPRECIAICIONES (FISCAL)</t>
  </si>
  <si>
    <t>AMORTIZACIONES</t>
  </si>
  <si>
    <t>DEPRECIACIONES (NO FISCAL)</t>
  </si>
  <si>
    <t>MEJORAS EN PROPIEDADES AJENAS</t>
  </si>
  <si>
    <t>PROVISIONES (EXÁMENES MEDICOS)</t>
  </si>
  <si>
    <t>4- TOTAL OVER HEADS</t>
  </si>
  <si>
    <t>UNIT PROFIT</t>
  </si>
  <si>
    <t>UNIT PROFIT      ( 1- 2-3-4 )</t>
  </si>
  <si>
    <t>GERENTE DE UNIDAD: G. PATRICIA GALLEGO BOTERO</t>
  </si>
  <si>
    <t>GERENTE DISTRITO: YESID LAZARO</t>
  </si>
  <si>
    <t>SUMMARY</t>
  </si>
  <si>
    <t>REAL</t>
  </si>
  <si>
    <t>BUDGET</t>
  </si>
  <si>
    <t>DIFERENCIA</t>
  </si>
  <si>
    <t>PROYECCION PROX. MES</t>
  </si>
  <si>
    <t>BUDGET PROX. MES</t>
  </si>
  <si>
    <t>NOTA: DIGITAR BUDGET EN MILES (SOLO EN ESTA HOJA -  EL RESUMEN ESTA FORMULADO)</t>
  </si>
  <si>
    <t>NOVEDADES CON LAS AREAS</t>
  </si>
  <si>
    <t>COMPRAS</t>
  </si>
  <si>
    <t>GESTION HUMANA - CONTRATACION - COMUNICACIONES</t>
  </si>
  <si>
    <t>CALIDAD Y HSEQ</t>
  </si>
  <si>
    <t>CONTABILIDAD - CONTROL INTERNO - FACTURACION - TESORERIA</t>
  </si>
  <si>
    <t>MANTENIMIENTO</t>
  </si>
  <si>
    <t>SISTEMAS</t>
  </si>
  <si>
    <t>OPERACIONES Y MENSAJERIA</t>
  </si>
  <si>
    <t>NOMINA</t>
  </si>
  <si>
    <t>EXAMENES MEDICOS Y DE LAB.</t>
  </si>
  <si>
    <t xml:space="preserve">ELABORADO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</si>
</sst>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\$#,##0;[Red]&quot;-$&quot;#,##0"/>
    <numFmt numFmtId="167" formatCode="[$$-240A]\ #,##0"/>
    <numFmt numFmtId="168" formatCode="&quot;$ &quot;#,##0"/>
    <numFmt numFmtId="169" formatCode="0.0%"/>
    <numFmt numFmtId="170" formatCode="&quot;$&quot;\ #,##0"/>
    <numFmt numFmtId="171" formatCode="_ &quot;$&quot;\ * #,##0.00_ ;_ &quot;$&quot;\ * \-#,##0.00_ ;_ &quot;$&quot;\ * &quot;-&quot;??_ ;_ @_ "/>
    <numFmt numFmtId="172" formatCode="_-* #,##0_-;\-* #,##0_-;_-* &quot;-&quot;??_-;_-@_-"/>
    <numFmt numFmtId="173" formatCode="_ &quot;$&quot;\ * #,##0_ ;_ &quot;$&quot;\ * \-#,##0_ ;_ &quot;$&quot;\ * &quot;-&quot;??_ ;_ @_ "/>
    <numFmt numFmtId="174" formatCode="_([$$-240A]\ * #,##0_);_([$$-240A]\ * \(#,##0\);_([$$-240A]\ * &quot;-&quot;??_);_(@_)"/>
    <numFmt numFmtId="175" formatCode="&quot;$&quot;\ #,##0.00"/>
    <numFmt numFmtId="176" formatCode="_(* #,##0_);_(* \(#,##0\);_(* &quot;-&quot;??_);_(@_)"/>
    <numFmt numFmtId="177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u/>
      <sz val="11"/>
      <name val="Arial"/>
      <family val="2"/>
    </font>
    <font>
      <sz val="10"/>
      <color indexed="10"/>
      <name val="Arial"/>
    </font>
    <font>
      <sz val="10"/>
      <name val="Arial"/>
      <family val="2"/>
    </font>
    <font>
      <b/>
      <sz val="11"/>
      <color indexed="10"/>
      <name val="Arial"/>
      <family val="2"/>
    </font>
    <font>
      <sz val="10"/>
      <name val="Arial"/>
    </font>
    <font>
      <b/>
      <sz val="10"/>
      <name val="Tahoma"/>
    </font>
    <font>
      <sz val="12"/>
      <color indexed="10"/>
      <name val="Arial"/>
      <family val="2"/>
    </font>
    <font>
      <sz val="10"/>
      <name val="Tahoma"/>
    </font>
    <font>
      <b/>
      <sz val="8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8"/>
      <color indexed="10"/>
      <name val="Arial"/>
    </font>
    <font>
      <b/>
      <sz val="14"/>
      <name val="Arial Narrow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8"/>
      <name val="Arial"/>
      <family val="2"/>
    </font>
    <font>
      <b/>
      <sz val="10"/>
      <color indexed="48"/>
      <name val="Arial"/>
      <family val="2"/>
    </font>
    <font>
      <b/>
      <i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ill="0" applyBorder="0" applyAlignment="0" applyProtection="0"/>
    <xf numFmtId="171" fontId="11" fillId="0" borderId="0" applyFill="0" applyBorder="0" applyAlignment="0" applyProtection="0"/>
    <xf numFmtId="17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9" fillId="0" borderId="0" applyFont="0" applyFill="0" applyBorder="0" applyAlignment="0" applyProtection="0"/>
  </cellStyleXfs>
  <cellXfs count="368">
    <xf numFmtId="0" fontId="0" fillId="0" borderId="0" xfId="0"/>
    <xf numFmtId="0" fontId="2" fillId="0" borderId="0" xfId="0" applyFont="1" applyAlignment="1">
      <alignment horizontal="center"/>
    </xf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5" xfId="0" applyBorder="1"/>
    <xf numFmtId="0" fontId="4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4" xfId="0" applyBorder="1"/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17" fontId="5" fillId="0" borderId="0" xfId="0" applyNumberFormat="1" applyFont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3" fontId="3" fillId="0" borderId="7" xfId="0" applyNumberFormat="1" applyFont="1" applyBorder="1" applyAlignment="1" applyProtection="1">
      <alignment horizontal="center" vertical="center"/>
      <protection hidden="1"/>
    </xf>
    <xf numFmtId="3" fontId="2" fillId="0" borderId="6" xfId="0" applyNumberFormat="1" applyFont="1" applyBorder="1" applyAlignment="1" applyProtection="1">
      <alignment horizontal="center" vertical="center"/>
      <protection hidden="1"/>
    </xf>
    <xf numFmtId="0" fontId="8" fillId="2" borderId="0" xfId="0" applyFont="1" applyFill="1"/>
    <xf numFmtId="49" fontId="9" fillId="0" borderId="4" xfId="0" applyNumberFormat="1" applyFont="1" applyBorder="1"/>
    <xf numFmtId="0" fontId="9" fillId="0" borderId="0" xfId="0" applyFont="1" applyAlignment="1">
      <alignment horizontal="left"/>
    </xf>
    <xf numFmtId="167" fontId="3" fillId="0" borderId="8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168" fontId="3" fillId="0" borderId="9" xfId="0" applyNumberFormat="1" applyFont="1" applyBorder="1" applyAlignment="1">
      <alignment horizontal="center"/>
    </xf>
    <xf numFmtId="3" fontId="0" fillId="0" borderId="5" xfId="0" applyNumberFormat="1" applyBorder="1"/>
    <xf numFmtId="0" fontId="9" fillId="0" borderId="0" xfId="0" applyFont="1"/>
    <xf numFmtId="3" fontId="10" fillId="0" borderId="10" xfId="0" applyNumberFormat="1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49" fontId="3" fillId="0" borderId="4" xfId="0" applyNumberFormat="1" applyFont="1" applyBorder="1"/>
    <xf numFmtId="49" fontId="3" fillId="0" borderId="0" xfId="0" applyNumberFormat="1" applyFont="1"/>
    <xf numFmtId="49" fontId="4" fillId="0" borderId="12" xfId="0" applyNumberFormat="1" applyFont="1" applyBorder="1" applyAlignment="1">
      <alignment horizontal="left"/>
    </xf>
    <xf numFmtId="3" fontId="3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49" fontId="4" fillId="0" borderId="4" xfId="0" applyNumberFormat="1" applyFont="1" applyBorder="1"/>
    <xf numFmtId="169" fontId="2" fillId="0" borderId="6" xfId="4" applyNumberFormat="1" applyFont="1" applyFill="1" applyBorder="1" applyAlignment="1" applyProtection="1">
      <alignment horizontal="center"/>
      <protection hidden="1"/>
    </xf>
    <xf numFmtId="9" fontId="2" fillId="0" borderId="6" xfId="4" applyFont="1" applyFill="1" applyBorder="1" applyAlignment="1" applyProtection="1">
      <alignment horizontal="center"/>
      <protection hidden="1"/>
    </xf>
    <xf numFmtId="168" fontId="3" fillId="0" borderId="13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2" fillId="0" borderId="14" xfId="0" applyFont="1" applyBorder="1"/>
    <xf numFmtId="168" fontId="13" fillId="0" borderId="1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1" fontId="3" fillId="0" borderId="1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5" fillId="0" borderId="5" xfId="0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9" fontId="2" fillId="0" borderId="16" xfId="0" applyNumberFormat="1" applyFont="1" applyBorder="1" applyAlignment="1">
      <alignment horizontal="center"/>
    </xf>
    <xf numFmtId="9" fontId="2" fillId="0" borderId="17" xfId="4" applyFont="1" applyFill="1" applyBorder="1" applyAlignment="1" applyProtection="1">
      <alignment horizontal="center"/>
    </xf>
    <xf numFmtId="0" fontId="6" fillId="0" borderId="18" xfId="0" applyFont="1" applyBorder="1" applyAlignment="1">
      <alignment horizontal="center"/>
    </xf>
    <xf numFmtId="0" fontId="2" fillId="0" borderId="5" xfId="0" applyFont="1" applyBorder="1"/>
    <xf numFmtId="170" fontId="3" fillId="0" borderId="19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171" fontId="8" fillId="0" borderId="5" xfId="5" applyFont="1" applyBorder="1"/>
    <xf numFmtId="49" fontId="5" fillId="0" borderId="0" xfId="0" applyNumberFormat="1" applyFont="1" applyAlignment="1">
      <alignment horizontal="left" vertical="top"/>
    </xf>
    <xf numFmtId="3" fontId="16" fillId="0" borderId="2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9" fontId="2" fillId="0" borderId="22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9" fontId="2" fillId="0" borderId="7" xfId="4" applyFont="1" applyFill="1" applyBorder="1" applyAlignment="1" applyProtection="1">
      <alignment horizontal="center"/>
    </xf>
    <xf numFmtId="168" fontId="2" fillId="0" borderId="23" xfId="0" applyNumberFormat="1" applyFont="1" applyBorder="1" applyAlignment="1">
      <alignment horizontal="center"/>
    </xf>
    <xf numFmtId="168" fontId="2" fillId="0" borderId="19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70" fontId="2" fillId="0" borderId="10" xfId="0" applyNumberFormat="1" applyFont="1" applyBorder="1" applyAlignment="1">
      <alignment horizontal="center"/>
    </xf>
    <xf numFmtId="170" fontId="2" fillId="0" borderId="24" xfId="0" applyNumberFormat="1" applyFont="1" applyBorder="1" applyAlignment="1">
      <alignment horizontal="center"/>
    </xf>
    <xf numFmtId="170" fontId="2" fillId="0" borderId="24" xfId="0" applyNumberFormat="1" applyFont="1" applyBorder="1"/>
    <xf numFmtId="168" fontId="2" fillId="0" borderId="25" xfId="0" applyNumberFormat="1" applyFont="1" applyBorder="1" applyAlignment="1">
      <alignment horizontal="center"/>
    </xf>
    <xf numFmtId="49" fontId="9" fillId="0" borderId="0" xfId="0" applyNumberFormat="1" applyFont="1"/>
    <xf numFmtId="168" fontId="2" fillId="0" borderId="26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0" fontId="4" fillId="0" borderId="12" xfId="0" applyFont="1" applyBorder="1"/>
    <xf numFmtId="169" fontId="0" fillId="0" borderId="5" xfId="0" applyNumberFormat="1" applyBorder="1"/>
    <xf numFmtId="168" fontId="2" fillId="0" borderId="29" xfId="0" applyNumberFormat="1" applyFont="1" applyBorder="1" applyAlignment="1">
      <alignment horizontal="center"/>
    </xf>
    <xf numFmtId="0" fontId="0" fillId="0" borderId="30" xfId="0" applyBorder="1"/>
    <xf numFmtId="168" fontId="2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9" fontId="2" fillId="0" borderId="0" xfId="4" applyFont="1" applyFill="1" applyBorder="1" applyAlignment="1" applyProtection="1">
      <alignment horizontal="center"/>
    </xf>
    <xf numFmtId="0" fontId="9" fillId="2" borderId="0" xfId="0" applyFont="1" applyFill="1"/>
    <xf numFmtId="172" fontId="5" fillId="2" borderId="33" xfId="0" applyNumberFormat="1" applyFont="1" applyFill="1" applyBorder="1" applyAlignment="1">
      <alignment horizontal="center" vertical="center"/>
    </xf>
    <xf numFmtId="172" fontId="5" fillId="2" borderId="2" xfId="0" applyNumberFormat="1" applyFont="1" applyFill="1" applyBorder="1" applyAlignment="1">
      <alignment horizontal="center"/>
    </xf>
    <xf numFmtId="172" fontId="5" fillId="2" borderId="2" xfId="0" applyNumberFormat="1" applyFont="1" applyFill="1" applyBorder="1" applyAlignment="1">
      <alignment horizontal="center" vertical="center"/>
    </xf>
    <xf numFmtId="172" fontId="5" fillId="2" borderId="5" xfId="0" applyNumberFormat="1" applyFont="1" applyFill="1" applyBorder="1"/>
    <xf numFmtId="0" fontId="5" fillId="2" borderId="3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3" fontId="21" fillId="2" borderId="0" xfId="0" applyNumberFormat="1" applyFont="1" applyFill="1" applyAlignment="1" applyProtection="1">
      <alignment horizontal="left"/>
      <protection locked="0"/>
    </xf>
    <xf numFmtId="0" fontId="21" fillId="2" borderId="0" xfId="0" applyFont="1" applyFill="1"/>
    <xf numFmtId="170" fontId="22" fillId="2" borderId="0" xfId="6" applyNumberFormat="1" applyFont="1" applyFill="1" applyBorder="1" applyAlignment="1"/>
    <xf numFmtId="0" fontId="9" fillId="0" borderId="37" xfId="0" applyFont="1" applyBorder="1"/>
    <xf numFmtId="0" fontId="17" fillId="2" borderId="38" xfId="0" applyFont="1" applyFill="1" applyBorder="1" applyAlignment="1">
      <alignment horizontal="left"/>
    </xf>
    <xf numFmtId="170" fontId="17" fillId="2" borderId="24" xfId="1" applyNumberFormat="1" applyFont="1" applyFill="1" applyBorder="1" applyProtection="1"/>
    <xf numFmtId="10" fontId="17" fillId="2" borderId="39" xfId="3" applyNumberFormat="1" applyFont="1" applyFill="1" applyBorder="1" applyProtection="1"/>
    <xf numFmtId="174" fontId="17" fillId="0" borderId="39" xfId="2" applyNumberFormat="1" applyFont="1" applyFill="1" applyBorder="1" applyProtection="1"/>
    <xf numFmtId="170" fontId="22" fillId="2" borderId="0" xfId="6" applyNumberFormat="1" applyFont="1" applyFill="1" applyBorder="1"/>
    <xf numFmtId="0" fontId="17" fillId="2" borderId="40" xfId="0" applyFont="1" applyFill="1" applyBorder="1" applyAlignment="1">
      <alignment horizontal="left"/>
    </xf>
    <xf numFmtId="170" fontId="17" fillId="2" borderId="41" xfId="1" applyNumberFormat="1" applyFont="1" applyFill="1" applyBorder="1" applyProtection="1"/>
    <xf numFmtId="10" fontId="17" fillId="2" borderId="42" xfId="3" applyNumberFormat="1" applyFont="1" applyFill="1" applyBorder="1" applyProtection="1"/>
    <xf numFmtId="0" fontId="9" fillId="2" borderId="4" xfId="0" applyFont="1" applyFill="1" applyBorder="1"/>
    <xf numFmtId="0" fontId="5" fillId="2" borderId="1" xfId="0" applyFont="1" applyFill="1" applyBorder="1"/>
    <xf numFmtId="9" fontId="9" fillId="2" borderId="43" xfId="3" applyFont="1" applyFill="1" applyBorder="1" applyProtection="1"/>
    <xf numFmtId="172" fontId="9" fillId="2" borderId="43" xfId="1" applyNumberFormat="1" applyFont="1" applyFill="1" applyBorder="1" applyProtection="1"/>
    <xf numFmtId="170" fontId="9" fillId="2" borderId="44" xfId="1" applyNumberFormat="1" applyFont="1" applyFill="1" applyBorder="1" applyProtection="1"/>
    <xf numFmtId="174" fontId="9" fillId="2" borderId="33" xfId="3" applyNumberFormat="1" applyFont="1" applyFill="1" applyBorder="1" applyProtection="1"/>
    <xf numFmtId="173" fontId="22" fillId="2" borderId="0" xfId="7" applyNumberFormat="1" applyFont="1" applyFill="1" applyBorder="1"/>
    <xf numFmtId="0" fontId="9" fillId="2" borderId="3" xfId="0" applyFont="1" applyFill="1" applyBorder="1"/>
    <xf numFmtId="170" fontId="23" fillId="2" borderId="0" xfId="6" applyNumberFormat="1" applyFont="1" applyFill="1" applyBorder="1"/>
    <xf numFmtId="10" fontId="9" fillId="2" borderId="30" xfId="3" applyNumberFormat="1" applyFont="1" applyFill="1" applyBorder="1" applyProtection="1"/>
    <xf numFmtId="0" fontId="5" fillId="2" borderId="0" xfId="0" applyFont="1" applyFill="1"/>
    <xf numFmtId="172" fontId="9" fillId="2" borderId="0" xfId="0" applyNumberFormat="1" applyFont="1" applyFill="1"/>
    <xf numFmtId="172" fontId="24" fillId="2" borderId="0" xfId="0" applyNumberFormat="1" applyFont="1" applyFill="1"/>
    <xf numFmtId="10" fontId="9" fillId="2" borderId="0" xfId="3" applyNumberFormat="1" applyFont="1" applyFill="1" applyBorder="1" applyProtection="1"/>
    <xf numFmtId="170" fontId="21" fillId="2" borderId="0" xfId="6" applyNumberFormat="1" applyFont="1" applyFill="1" applyBorder="1"/>
    <xf numFmtId="173" fontId="21" fillId="2" borderId="0" xfId="7" applyNumberFormat="1" applyFont="1" applyFill="1" applyBorder="1"/>
    <xf numFmtId="172" fontId="9" fillId="2" borderId="2" xfId="0" applyNumberFormat="1" applyFont="1" applyFill="1" applyBorder="1"/>
    <xf numFmtId="172" fontId="9" fillId="2" borderId="2" xfId="3" applyNumberFormat="1" applyFont="1" applyFill="1" applyBorder="1"/>
    <xf numFmtId="1" fontId="9" fillId="2" borderId="0" xfId="0" applyNumberFormat="1" applyFont="1" applyFill="1"/>
    <xf numFmtId="0" fontId="9" fillId="2" borderId="5" xfId="0" applyFont="1" applyFill="1" applyBorder="1"/>
    <xf numFmtId="0" fontId="26" fillId="2" borderId="31" xfId="0" applyFont="1" applyFill="1" applyBorder="1"/>
    <xf numFmtId="0" fontId="25" fillId="2" borderId="33" xfId="0" applyFont="1" applyFill="1" applyBorder="1" applyAlignment="1" applyProtection="1">
      <alignment horizontal="center"/>
      <protection locked="0"/>
    </xf>
    <xf numFmtId="0" fontId="25" fillId="2" borderId="35" xfId="0" applyFont="1" applyFill="1" applyBorder="1" applyAlignment="1" applyProtection="1">
      <alignment horizontal="center"/>
      <protection locked="0"/>
    </xf>
    <xf numFmtId="0" fontId="25" fillId="2" borderId="36" xfId="0" applyFont="1" applyFill="1" applyBorder="1" applyAlignment="1" applyProtection="1">
      <alignment horizontal="center"/>
      <protection locked="0"/>
    </xf>
    <xf numFmtId="0" fontId="9" fillId="0" borderId="4" xfId="0" applyFont="1" applyBorder="1"/>
    <xf numFmtId="3" fontId="15" fillId="0" borderId="46" xfId="0" applyNumberFormat="1" applyFont="1" applyBorder="1" applyAlignment="1" applyProtection="1">
      <alignment horizontal="left"/>
      <protection locked="0"/>
    </xf>
    <xf numFmtId="176" fontId="17" fillId="0" borderId="48" xfId="1" applyNumberFormat="1" applyFont="1" applyFill="1" applyBorder="1" applyAlignment="1" applyProtection="1">
      <alignment horizontal="center"/>
      <protection locked="0"/>
    </xf>
    <xf numFmtId="176" fontId="17" fillId="0" borderId="49" xfId="1" applyNumberFormat="1" applyFont="1" applyFill="1" applyBorder="1" applyAlignment="1" applyProtection="1">
      <alignment horizontal="center"/>
    </xf>
    <xf numFmtId="170" fontId="9" fillId="2" borderId="0" xfId="0" applyNumberFormat="1" applyFont="1" applyFill="1"/>
    <xf numFmtId="176" fontId="9" fillId="2" borderId="48" xfId="0" applyNumberFormat="1" applyFont="1" applyFill="1" applyBorder="1"/>
    <xf numFmtId="3" fontId="15" fillId="0" borderId="50" xfId="0" applyNumberFormat="1" applyFont="1" applyBorder="1" applyAlignment="1" applyProtection="1">
      <alignment horizontal="left"/>
      <protection locked="0"/>
    </xf>
    <xf numFmtId="176" fontId="17" fillId="0" borderId="10" xfId="1" applyNumberFormat="1" applyFont="1" applyFill="1" applyBorder="1" applyAlignment="1" applyProtection="1">
      <alignment horizontal="center"/>
      <protection locked="0"/>
    </xf>
    <xf numFmtId="176" fontId="17" fillId="0" borderId="51" xfId="1" applyNumberFormat="1" applyFont="1" applyFill="1" applyBorder="1" applyAlignment="1" applyProtection="1">
      <alignment horizontal="center"/>
    </xf>
    <xf numFmtId="0" fontId="9" fillId="2" borderId="10" xfId="0" applyFont="1" applyFill="1" applyBorder="1"/>
    <xf numFmtId="176" fontId="17" fillId="0" borderId="25" xfId="1" applyNumberFormat="1" applyFont="1" applyFill="1" applyBorder="1" applyAlignment="1" applyProtection="1">
      <alignment horizontal="center"/>
      <protection locked="0"/>
    </xf>
    <xf numFmtId="176" fontId="17" fillId="0" borderId="53" xfId="1" applyNumberFormat="1" applyFont="1" applyFill="1" applyBorder="1" applyAlignment="1" applyProtection="1">
      <alignment horizontal="center"/>
    </xf>
    <xf numFmtId="176" fontId="9" fillId="2" borderId="25" xfId="0" applyNumberFormat="1" applyFont="1" applyFill="1" applyBorder="1"/>
    <xf numFmtId="170" fontId="9" fillId="2" borderId="33" xfId="1" applyNumberFormat="1" applyFont="1" applyFill="1" applyBorder="1" applyProtection="1"/>
    <xf numFmtId="170" fontId="4" fillId="2" borderId="33" xfId="1" applyNumberFormat="1" applyFont="1" applyFill="1" applyBorder="1" applyProtection="1"/>
    <xf numFmtId="177" fontId="5" fillId="2" borderId="32" xfId="3" applyNumberFormat="1" applyFont="1" applyFill="1" applyBorder="1" applyAlignment="1" applyProtection="1">
      <alignment horizontal="center"/>
    </xf>
    <xf numFmtId="170" fontId="4" fillId="2" borderId="45" xfId="1" applyNumberFormat="1" applyFont="1" applyFill="1" applyBorder="1" applyProtection="1"/>
    <xf numFmtId="10" fontId="5" fillId="2" borderId="31" xfId="3" applyNumberFormat="1" applyFont="1" applyFill="1" applyBorder="1"/>
    <xf numFmtId="10" fontId="5" fillId="2" borderId="33" xfId="3" applyNumberFormat="1" applyFont="1" applyFill="1" applyBorder="1"/>
    <xf numFmtId="0" fontId="9" fillId="2" borderId="32" xfId="0" applyFont="1" applyFill="1" applyBorder="1"/>
    <xf numFmtId="0" fontId="4" fillId="2" borderId="32" xfId="3" applyNumberFormat="1" applyFont="1" applyFill="1" applyBorder="1" applyAlignment="1">
      <alignment horizontal="center"/>
    </xf>
    <xf numFmtId="3" fontId="5" fillId="2" borderId="0" xfId="0" applyNumberFormat="1" applyFont="1" applyFill="1" applyAlignment="1" applyProtection="1">
      <alignment horizontal="left"/>
      <protection locked="0"/>
    </xf>
    <xf numFmtId="169" fontId="5" fillId="2" borderId="0" xfId="3" applyNumberFormat="1" applyFont="1" applyFill="1" applyBorder="1" applyAlignment="1" applyProtection="1">
      <alignment horizontal="center"/>
    </xf>
    <xf numFmtId="169" fontId="24" fillId="2" borderId="0" xfId="3" applyNumberFormat="1" applyFont="1" applyFill="1" applyBorder="1" applyAlignment="1" applyProtection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5" fillId="3" borderId="8" xfId="0" applyFont="1" applyFill="1" applyBorder="1" applyAlignment="1">
      <alignment horizontal="center" vertical="center" wrapText="1"/>
    </xf>
    <xf numFmtId="3" fontId="17" fillId="0" borderId="48" xfId="0" applyNumberFormat="1" applyFont="1" applyBorder="1" applyAlignment="1" applyProtection="1">
      <alignment horizontal="left"/>
      <protection locked="0"/>
    </xf>
    <xf numFmtId="0" fontId="17" fillId="0" borderId="54" xfId="0" applyFont="1" applyBorder="1"/>
    <xf numFmtId="170" fontId="22" fillId="0" borderId="55" xfId="6" applyNumberFormat="1" applyFont="1" applyFill="1" applyBorder="1" applyAlignment="1"/>
    <xf numFmtId="174" fontId="17" fillId="2" borderId="48" xfId="1" applyNumberFormat="1" applyFont="1" applyFill="1" applyBorder="1" applyProtection="1"/>
    <xf numFmtId="0" fontId="9" fillId="2" borderId="48" xfId="0" applyFont="1" applyFill="1" applyBorder="1"/>
    <xf numFmtId="3" fontId="17" fillId="0" borderId="56" xfId="0" applyNumberFormat="1" applyFont="1" applyBorder="1" applyAlignment="1" applyProtection="1">
      <alignment horizontal="left"/>
      <protection locked="0"/>
    </xf>
    <xf numFmtId="0" fontId="17" fillId="0" borderId="57" xfId="0" applyFont="1" applyBorder="1"/>
    <xf numFmtId="0" fontId="9" fillId="2" borderId="58" xfId="0" applyFont="1" applyFill="1" applyBorder="1"/>
    <xf numFmtId="3" fontId="17" fillId="0" borderId="10" xfId="0" applyNumberFormat="1" applyFont="1" applyBorder="1" applyAlignment="1" applyProtection="1">
      <alignment horizontal="left"/>
      <protection locked="0"/>
    </xf>
    <xf numFmtId="0" fontId="17" fillId="0" borderId="59" xfId="0" applyFont="1" applyBorder="1"/>
    <xf numFmtId="170" fontId="22" fillId="0" borderId="51" xfId="6" applyNumberFormat="1" applyFont="1" applyBorder="1" applyAlignment="1"/>
    <xf numFmtId="174" fontId="17" fillId="2" borderId="10" xfId="1" applyNumberFormat="1" applyFont="1" applyFill="1" applyBorder="1" applyProtection="1"/>
    <xf numFmtId="3" fontId="17" fillId="0" borderId="37" xfId="0" applyNumberFormat="1" applyFont="1" applyBorder="1" applyAlignment="1" applyProtection="1">
      <alignment horizontal="left"/>
      <protection locked="0"/>
    </xf>
    <xf numFmtId="0" fontId="17" fillId="0" borderId="60" xfId="0" applyFont="1" applyBorder="1"/>
    <xf numFmtId="0" fontId="9" fillId="2" borderId="39" xfId="0" applyFont="1" applyFill="1" applyBorder="1"/>
    <xf numFmtId="174" fontId="17" fillId="2" borderId="52" xfId="1" applyNumberFormat="1" applyFont="1" applyFill="1" applyBorder="1" applyProtection="1"/>
    <xf numFmtId="3" fontId="6" fillId="0" borderId="10" xfId="0" applyNumberFormat="1" applyFont="1" applyBorder="1" applyAlignment="1" applyProtection="1">
      <alignment horizontal="left"/>
      <protection locked="0"/>
    </xf>
    <xf numFmtId="174" fontId="6" fillId="2" borderId="33" xfId="1" applyNumberFormat="1" applyFont="1" applyFill="1" applyBorder="1" applyProtection="1"/>
    <xf numFmtId="174" fontId="17" fillId="2" borderId="61" xfId="1" applyNumberFormat="1" applyFont="1" applyFill="1" applyBorder="1" applyProtection="1"/>
    <xf numFmtId="3" fontId="6" fillId="0" borderId="25" xfId="0" applyNumberFormat="1" applyFont="1" applyBorder="1" applyAlignment="1" applyProtection="1">
      <alignment horizontal="left"/>
      <protection locked="0"/>
    </xf>
    <xf numFmtId="0" fontId="17" fillId="0" borderId="62" xfId="0" applyFont="1" applyBorder="1"/>
    <xf numFmtId="0" fontId="17" fillId="0" borderId="63" xfId="0" applyFont="1" applyBorder="1"/>
    <xf numFmtId="3" fontId="17" fillId="0" borderId="50" xfId="0" applyNumberFormat="1" applyFont="1" applyBorder="1" applyAlignment="1" applyProtection="1">
      <alignment horizontal="left"/>
      <protection locked="0"/>
    </xf>
    <xf numFmtId="172" fontId="9" fillId="2" borderId="10" xfId="0" applyNumberFormat="1" applyFont="1" applyFill="1" applyBorder="1"/>
    <xf numFmtId="174" fontId="17" fillId="2" borderId="25" xfId="1" applyNumberFormat="1" applyFont="1" applyFill="1" applyBorder="1" applyProtection="1"/>
    <xf numFmtId="0" fontId="17" fillId="0" borderId="65" xfId="0" applyFont="1" applyBorder="1"/>
    <xf numFmtId="0" fontId="17" fillId="0" borderId="66" xfId="0" applyFont="1" applyBorder="1"/>
    <xf numFmtId="3" fontId="6" fillId="0" borderId="67" xfId="0" applyNumberFormat="1" applyFont="1" applyBorder="1" applyAlignment="1" applyProtection="1">
      <alignment horizontal="left"/>
      <protection locked="0"/>
    </xf>
    <xf numFmtId="174" fontId="17" fillId="2" borderId="33" xfId="1" applyNumberFormat="1" applyFont="1" applyFill="1" applyBorder="1" applyProtection="1"/>
    <xf numFmtId="174" fontId="17" fillId="2" borderId="47" xfId="1" applyNumberFormat="1" applyFont="1" applyFill="1" applyBorder="1" applyProtection="1"/>
    <xf numFmtId="3" fontId="17" fillId="0" borderId="68" xfId="0" applyNumberFormat="1" applyFont="1" applyBorder="1" applyAlignment="1" applyProtection="1">
      <alignment horizontal="left"/>
      <protection locked="0"/>
    </xf>
    <xf numFmtId="0" fontId="17" fillId="0" borderId="69" xfId="0" applyFont="1" applyBorder="1"/>
    <xf numFmtId="0" fontId="9" fillId="2" borderId="70" xfId="0" applyFont="1" applyFill="1" applyBorder="1"/>
    <xf numFmtId="165" fontId="9" fillId="2" borderId="0" xfId="1" applyFont="1" applyFill="1" applyBorder="1"/>
    <xf numFmtId="165" fontId="9" fillId="2" borderId="0" xfId="1" applyFont="1" applyFill="1" applyBorder="1" applyAlignment="1">
      <alignment horizontal="center"/>
    </xf>
    <xf numFmtId="172" fontId="9" fillId="2" borderId="25" xfId="0" applyNumberFormat="1" applyFont="1" applyFill="1" applyBorder="1"/>
    <xf numFmtId="0" fontId="0" fillId="2" borderId="0" xfId="0" applyFill="1"/>
    <xf numFmtId="0" fontId="17" fillId="2" borderId="67" xfId="0" applyFont="1" applyFill="1" applyBorder="1" applyAlignment="1">
      <alignment horizontal="left"/>
    </xf>
    <xf numFmtId="0" fontId="17" fillId="0" borderId="71" xfId="0" applyFont="1" applyBorder="1"/>
    <xf numFmtId="0" fontId="17" fillId="0" borderId="72" xfId="0" applyFont="1" applyBorder="1"/>
    <xf numFmtId="9" fontId="5" fillId="2" borderId="5" xfId="3" applyFont="1" applyFill="1" applyBorder="1" applyAlignment="1">
      <alignment horizontal="center"/>
    </xf>
    <xf numFmtId="0" fontId="9" fillId="2" borderId="27" xfId="0" applyFont="1" applyFill="1" applyBorder="1"/>
    <xf numFmtId="170" fontId="27" fillId="2" borderId="73" xfId="1" applyNumberFormat="1" applyFont="1" applyFill="1" applyBorder="1" applyProtection="1"/>
    <xf numFmtId="10" fontId="5" fillId="2" borderId="32" xfId="3" applyNumberFormat="1" applyFont="1" applyFill="1" applyBorder="1"/>
    <xf numFmtId="170" fontId="27" fillId="2" borderId="36" xfId="1" applyNumberFormat="1" applyFont="1" applyFill="1" applyBorder="1" applyProtection="1"/>
    <xf numFmtId="4" fontId="21" fillId="2" borderId="0" xfId="8" applyNumberFormat="1" applyFont="1" applyFill="1" applyBorder="1"/>
    <xf numFmtId="3" fontId="5" fillId="0" borderId="4" xfId="0" applyNumberFormat="1" applyFont="1" applyBorder="1" applyAlignment="1" applyProtection="1">
      <alignment horizontal="left"/>
      <protection locked="0"/>
    </xf>
    <xf numFmtId="0" fontId="17" fillId="0" borderId="0" xfId="0" applyFont="1"/>
    <xf numFmtId="170" fontId="28" fillId="0" borderId="0" xfId="1" applyNumberFormat="1" applyFont="1" applyFill="1" applyBorder="1" applyProtection="1"/>
    <xf numFmtId="0" fontId="5" fillId="0" borderId="5" xfId="3" applyNumberFormat="1" applyFont="1" applyFill="1" applyBorder="1"/>
    <xf numFmtId="10" fontId="4" fillId="2" borderId="32" xfId="3" applyNumberFormat="1" applyFont="1" applyFill="1" applyBorder="1" applyAlignment="1">
      <alignment horizontal="center"/>
    </xf>
    <xf numFmtId="172" fontId="9" fillId="2" borderId="3" xfId="0" applyNumberFormat="1" applyFont="1" applyFill="1" applyBorder="1"/>
    <xf numFmtId="0" fontId="5" fillId="3" borderId="8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3" fontId="9" fillId="2" borderId="0" xfId="0" applyNumberFormat="1" applyFont="1" applyFill="1"/>
    <xf numFmtId="176" fontId="9" fillId="2" borderId="0" xfId="0" applyNumberFormat="1" applyFont="1" applyFill="1"/>
    <xf numFmtId="3" fontId="17" fillId="0" borderId="59" xfId="0" applyNumberFormat="1" applyFont="1" applyBorder="1" applyAlignment="1" applyProtection="1">
      <alignment horizontal="left"/>
      <protection locked="0"/>
    </xf>
    <xf numFmtId="3" fontId="5" fillId="2" borderId="10" xfId="0" applyNumberFormat="1" applyFont="1" applyFill="1" applyBorder="1" applyAlignment="1" applyProtection="1">
      <alignment horizontal="left"/>
      <protection locked="0"/>
    </xf>
    <xf numFmtId="176" fontId="9" fillId="2" borderId="0" xfId="1" applyNumberFormat="1" applyFont="1" applyFill="1" applyBorder="1" applyAlignment="1" applyProtection="1">
      <alignment horizontal="center"/>
      <protection locked="0"/>
    </xf>
    <xf numFmtId="176" fontId="29" fillId="2" borderId="0" xfId="1" applyNumberFormat="1" applyFont="1" applyFill="1" applyBorder="1" applyAlignment="1" applyProtection="1">
      <alignment horizontal="center"/>
      <protection locked="0"/>
    </xf>
    <xf numFmtId="0" fontId="9" fillId="2" borderId="25" xfId="0" applyFont="1" applyFill="1" applyBorder="1"/>
    <xf numFmtId="170" fontId="27" fillId="2" borderId="75" xfId="1" applyNumberFormat="1" applyFont="1" applyFill="1" applyBorder="1" applyProtection="1"/>
    <xf numFmtId="9" fontId="5" fillId="2" borderId="3" xfId="3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 vertical="center"/>
    </xf>
    <xf numFmtId="0" fontId="5" fillId="2" borderId="76" xfId="0" applyFont="1" applyFill="1" applyBorder="1"/>
    <xf numFmtId="0" fontId="5" fillId="2" borderId="72" xfId="0" applyFont="1" applyFill="1" applyBorder="1"/>
    <xf numFmtId="0" fontId="5" fillId="2" borderId="40" xfId="0" applyFont="1" applyFill="1" applyBorder="1"/>
    <xf numFmtId="0" fontId="5" fillId="2" borderId="71" xfId="0" applyFont="1" applyFill="1" applyBorder="1"/>
    <xf numFmtId="0" fontId="5" fillId="2" borderId="77" xfId="0" applyFont="1" applyFill="1" applyBorder="1"/>
    <xf numFmtId="0" fontId="5" fillId="2" borderId="78" xfId="0" applyFont="1" applyFill="1" applyBorder="1"/>
    <xf numFmtId="0" fontId="5" fillId="2" borderId="79" xfId="0" applyFont="1" applyFill="1" applyBorder="1"/>
    <xf numFmtId="0" fontId="5" fillId="2" borderId="80" xfId="0" applyFont="1" applyFill="1" applyBorder="1"/>
    <xf numFmtId="0" fontId="9" fillId="2" borderId="81" xfId="0" applyFont="1" applyFill="1" applyBorder="1"/>
    <xf numFmtId="0" fontId="9" fillId="2" borderId="30" xfId="0" applyFont="1" applyFill="1" applyBorder="1"/>
    <xf numFmtId="0" fontId="25" fillId="2" borderId="84" xfId="0" applyFont="1" applyFill="1" applyBorder="1"/>
    <xf numFmtId="0" fontId="25" fillId="2" borderId="73" xfId="0" applyFont="1" applyFill="1" applyBorder="1" applyAlignment="1">
      <alignment horizontal="center" vertical="center"/>
    </xf>
    <xf numFmtId="0" fontId="25" fillId="2" borderId="85" xfId="0" applyFont="1" applyFill="1" applyBorder="1" applyAlignment="1">
      <alignment horizontal="center" vertical="center"/>
    </xf>
    <xf numFmtId="0" fontId="25" fillId="2" borderId="73" xfId="0" applyFont="1" applyFill="1" applyBorder="1" applyAlignment="1">
      <alignment horizontal="center" wrapText="1"/>
    </xf>
    <xf numFmtId="0" fontId="25" fillId="2" borderId="36" xfId="0" applyFont="1" applyFill="1" applyBorder="1" applyAlignment="1">
      <alignment horizontal="center" vertical="center"/>
    </xf>
    <xf numFmtId="0" fontId="25" fillId="2" borderId="86" xfId="0" applyFont="1" applyFill="1" applyBorder="1"/>
    <xf numFmtId="170" fontId="9" fillId="2" borderId="87" xfId="0" applyNumberFormat="1" applyFont="1" applyFill="1" applyBorder="1"/>
    <xf numFmtId="174" fontId="9" fillId="2" borderId="87" xfId="2" applyNumberFormat="1" applyFont="1" applyFill="1" applyBorder="1"/>
    <xf numFmtId="174" fontId="9" fillId="2" borderId="57" xfId="2" applyNumberFormat="1" applyFont="1" applyFill="1" applyBorder="1"/>
    <xf numFmtId="174" fontId="9" fillId="2" borderId="87" xfId="0" applyNumberFormat="1" applyFont="1" applyFill="1" applyBorder="1"/>
    <xf numFmtId="174" fontId="9" fillId="2" borderId="58" xfId="0" applyNumberFormat="1" applyFont="1" applyFill="1" applyBorder="1"/>
    <xf numFmtId="0" fontId="25" fillId="2" borderId="37" xfId="0" applyFont="1" applyFill="1" applyBorder="1"/>
    <xf numFmtId="170" fontId="9" fillId="2" borderId="24" xfId="0" applyNumberFormat="1" applyFont="1" applyFill="1" applyBorder="1"/>
    <xf numFmtId="174" fontId="9" fillId="2" borderId="24" xfId="2" applyNumberFormat="1" applyFont="1" applyFill="1" applyBorder="1"/>
    <xf numFmtId="174" fontId="9" fillId="2" borderId="60" xfId="2" applyNumberFormat="1" applyFont="1" applyFill="1" applyBorder="1"/>
    <xf numFmtId="174" fontId="9" fillId="2" borderId="24" xfId="0" applyNumberFormat="1" applyFont="1" applyFill="1" applyBorder="1"/>
    <xf numFmtId="174" fontId="9" fillId="2" borderId="39" xfId="0" applyNumberFormat="1" applyFont="1" applyFill="1" applyBorder="1"/>
    <xf numFmtId="10" fontId="9" fillId="2" borderId="24" xfId="3" applyNumberFormat="1" applyFont="1" applyFill="1" applyBorder="1"/>
    <xf numFmtId="10" fontId="9" fillId="2" borderId="60" xfId="3" applyNumberFormat="1" applyFont="1" applyFill="1" applyBorder="1"/>
    <xf numFmtId="0" fontId="25" fillId="2" borderId="68" xfId="0" applyFont="1" applyFill="1" applyBorder="1"/>
    <xf numFmtId="10" fontId="9" fillId="2" borderId="29" xfId="3" applyNumberFormat="1" applyFont="1" applyFill="1" applyBorder="1"/>
    <xf numFmtId="10" fontId="9" fillId="2" borderId="69" xfId="3" applyNumberFormat="1" applyFont="1" applyFill="1" applyBorder="1"/>
    <xf numFmtId="0" fontId="4" fillId="2" borderId="0" xfId="0" applyFont="1" applyFill="1"/>
    <xf numFmtId="172" fontId="9" fillId="4" borderId="2" xfId="0" applyNumberFormat="1" applyFont="1" applyFill="1" applyBorder="1"/>
    <xf numFmtId="174" fontId="17" fillId="4" borderId="24" xfId="1" applyNumberFormat="1" applyFont="1" applyFill="1" applyBorder="1" applyProtection="1"/>
    <xf numFmtId="172" fontId="17" fillId="4" borderId="24" xfId="1" applyNumberFormat="1" applyFont="1" applyFill="1" applyBorder="1" applyProtection="1"/>
    <xf numFmtId="170" fontId="17" fillId="4" borderId="24" xfId="1" applyNumberFormat="1" applyFont="1" applyFill="1" applyBorder="1" applyProtection="1"/>
    <xf numFmtId="172" fontId="17" fillId="4" borderId="41" xfId="1" applyNumberFormat="1" applyFont="1" applyFill="1" applyBorder="1" applyProtection="1"/>
    <xf numFmtId="170" fontId="17" fillId="4" borderId="41" xfId="1" applyNumberFormat="1" applyFont="1" applyFill="1" applyBorder="1" applyProtection="1"/>
    <xf numFmtId="176" fontId="17" fillId="4" borderId="47" xfId="1" applyNumberFormat="1" applyFont="1" applyFill="1" applyBorder="1" applyAlignment="1" applyProtection="1">
      <alignment horizontal="center"/>
      <protection locked="0"/>
    </xf>
    <xf numFmtId="176" fontId="17" fillId="4" borderId="10" xfId="1" applyNumberFormat="1" applyFont="1" applyFill="1" applyBorder="1" applyAlignment="1" applyProtection="1">
      <alignment horizontal="center"/>
      <protection locked="0"/>
    </xf>
    <xf numFmtId="176" fontId="17" fillId="4" borderId="52" xfId="1" applyNumberFormat="1" applyFont="1" applyFill="1" applyBorder="1" applyAlignment="1" applyProtection="1">
      <alignment horizontal="center"/>
      <protection locked="0"/>
    </xf>
    <xf numFmtId="10" fontId="5" fillId="4" borderId="31" xfId="3" applyNumberFormat="1" applyFont="1" applyFill="1" applyBorder="1"/>
    <xf numFmtId="49" fontId="9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3" fontId="21" fillId="2" borderId="0" xfId="0" applyNumberFormat="1" applyFont="1" applyFill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170" fontId="4" fillId="2" borderId="8" xfId="0" applyNumberFormat="1" applyFont="1" applyFill="1" applyBorder="1" applyAlignment="1">
      <alignment horizontal="center"/>
    </xf>
    <xf numFmtId="170" fontId="4" fillId="2" borderId="45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/>
      <protection locked="0"/>
    </xf>
    <xf numFmtId="0" fontId="25" fillId="3" borderId="5" xfId="0" applyFont="1" applyFill="1" applyBorder="1" applyAlignment="1" applyProtection="1">
      <alignment horizontal="center"/>
      <protection locked="0"/>
    </xf>
    <xf numFmtId="172" fontId="5" fillId="2" borderId="31" xfId="0" applyNumberFormat="1" applyFont="1" applyFill="1" applyBorder="1" applyAlignment="1">
      <alignment horizontal="center" vertical="center"/>
    </xf>
    <xf numFmtId="172" fontId="5" fillId="2" borderId="32" xfId="0" applyNumberFormat="1" applyFont="1" applyFill="1" applyBorder="1" applyAlignment="1">
      <alignment horizontal="center" vertical="center"/>
    </xf>
    <xf numFmtId="172" fontId="5" fillId="2" borderId="31" xfId="0" applyNumberFormat="1" applyFont="1" applyFill="1" applyBorder="1" applyAlignment="1">
      <alignment horizontal="center"/>
    </xf>
    <xf numFmtId="172" fontId="5" fillId="2" borderId="32" xfId="0" applyNumberFormat="1" applyFont="1" applyFill="1" applyBorder="1" applyAlignment="1">
      <alignment horizontal="center"/>
    </xf>
    <xf numFmtId="49" fontId="5" fillId="2" borderId="31" xfId="0" applyNumberFormat="1" applyFont="1" applyFill="1" applyBorder="1" applyAlignment="1">
      <alignment horizontal="center"/>
    </xf>
    <xf numFmtId="49" fontId="5" fillId="2" borderId="32" xfId="0" applyNumberFormat="1" applyFont="1" applyFill="1" applyBorder="1" applyAlignment="1">
      <alignment horizontal="center"/>
    </xf>
    <xf numFmtId="172" fontId="5" fillId="3" borderId="31" xfId="0" applyNumberFormat="1" applyFont="1" applyFill="1" applyBorder="1" applyAlignment="1">
      <alignment horizontal="center" vertical="center"/>
    </xf>
    <xf numFmtId="172" fontId="5" fillId="3" borderId="34" xfId="0" applyNumberFormat="1" applyFont="1" applyFill="1" applyBorder="1" applyAlignment="1">
      <alignment horizontal="center" vertical="center"/>
    </xf>
    <xf numFmtId="172" fontId="5" fillId="3" borderId="32" xfId="0" applyNumberFormat="1" applyFont="1" applyFill="1" applyBorder="1" applyAlignment="1">
      <alignment horizontal="center" vertical="center"/>
    </xf>
    <xf numFmtId="169" fontId="6" fillId="2" borderId="4" xfId="3" applyNumberFormat="1" applyFont="1" applyFill="1" applyBorder="1" applyAlignment="1" applyProtection="1">
      <alignment horizontal="center" wrapText="1"/>
    </xf>
    <xf numFmtId="169" fontId="6" fillId="2" borderId="27" xfId="3" applyNumberFormat="1" applyFont="1" applyFill="1" applyBorder="1" applyAlignment="1" applyProtection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3" fontId="17" fillId="0" borderId="8" xfId="0" applyNumberFormat="1" applyFont="1" applyBorder="1" applyAlignment="1" applyProtection="1">
      <alignment horizontal="center" vertical="center"/>
      <protection locked="0"/>
    </xf>
    <xf numFmtId="3" fontId="17" fillId="0" borderId="61" xfId="0" applyNumberFormat="1" applyFont="1" applyBorder="1" applyAlignment="1" applyProtection="1">
      <alignment horizontal="center" vertical="center"/>
      <protection locked="0"/>
    </xf>
    <xf numFmtId="3" fontId="17" fillId="0" borderId="45" xfId="0" applyNumberFormat="1" applyFont="1" applyBorder="1" applyAlignment="1" applyProtection="1">
      <alignment horizontal="center" vertical="center"/>
      <protection locked="0"/>
    </xf>
    <xf numFmtId="3" fontId="17" fillId="0" borderId="56" xfId="0" applyNumberFormat="1" applyFont="1" applyBorder="1" applyAlignment="1" applyProtection="1">
      <alignment horizontal="left"/>
      <protection locked="0"/>
    </xf>
    <xf numFmtId="3" fontId="17" fillId="0" borderId="55" xfId="0" applyNumberFormat="1" applyFont="1" applyBorder="1" applyAlignment="1" applyProtection="1">
      <alignment horizontal="left"/>
      <protection locked="0"/>
    </xf>
    <xf numFmtId="3" fontId="17" fillId="0" borderId="50" xfId="0" applyNumberFormat="1" applyFont="1" applyBorder="1" applyAlignment="1" applyProtection="1">
      <alignment horizontal="left"/>
      <protection locked="0"/>
    </xf>
    <xf numFmtId="3" fontId="17" fillId="0" borderId="51" xfId="0" applyNumberFormat="1" applyFont="1" applyBorder="1" applyAlignment="1" applyProtection="1">
      <alignment horizontal="left"/>
      <protection locked="0"/>
    </xf>
    <xf numFmtId="3" fontId="17" fillId="0" borderId="64" xfId="0" applyNumberFormat="1" applyFont="1" applyBorder="1" applyAlignment="1" applyProtection="1">
      <alignment horizontal="left"/>
      <protection locked="0"/>
    </xf>
    <xf numFmtId="3" fontId="17" fillId="0" borderId="63" xfId="0" applyNumberFormat="1" applyFont="1" applyBorder="1" applyAlignment="1" applyProtection="1">
      <alignment horizontal="left"/>
      <protection locked="0"/>
    </xf>
    <xf numFmtId="3" fontId="5" fillId="3" borderId="31" xfId="0" applyNumberFormat="1" applyFont="1" applyFill="1" applyBorder="1" applyAlignment="1" applyProtection="1">
      <alignment horizontal="left"/>
      <protection locked="0"/>
    </xf>
    <xf numFmtId="3" fontId="5" fillId="3" borderId="34" xfId="0" applyNumberFormat="1" applyFont="1" applyFill="1" applyBorder="1" applyAlignment="1" applyProtection="1">
      <alignment horizontal="left"/>
      <protection locked="0"/>
    </xf>
    <xf numFmtId="3" fontId="5" fillId="3" borderId="35" xfId="0" applyNumberFormat="1" applyFont="1" applyFill="1" applyBorder="1" applyAlignment="1" applyProtection="1">
      <alignment horizontal="left"/>
      <protection locked="0"/>
    </xf>
    <xf numFmtId="3" fontId="5" fillId="3" borderId="31" xfId="0" applyNumberFormat="1" applyFont="1" applyFill="1" applyBorder="1" applyAlignment="1" applyProtection="1">
      <alignment horizontal="center"/>
      <protection locked="0"/>
    </xf>
    <xf numFmtId="3" fontId="5" fillId="3" borderId="32" xfId="0" applyNumberFormat="1" applyFont="1" applyFill="1" applyBorder="1" applyAlignment="1" applyProtection="1">
      <alignment horizontal="center"/>
      <protection locked="0"/>
    </xf>
    <xf numFmtId="3" fontId="17" fillId="0" borderId="74" xfId="0" applyNumberFormat="1" applyFont="1" applyBorder="1" applyAlignment="1" applyProtection="1">
      <alignment horizontal="left"/>
      <protection locked="0"/>
    </xf>
    <xf numFmtId="3" fontId="17" fillId="0" borderId="26" xfId="0" applyNumberFormat="1" applyFont="1" applyBorder="1" applyAlignment="1" applyProtection="1">
      <alignment horizontal="left"/>
      <protection locked="0"/>
    </xf>
    <xf numFmtId="3" fontId="17" fillId="0" borderId="24" xfId="0" applyNumberFormat="1" applyFont="1" applyBorder="1" applyAlignment="1" applyProtection="1">
      <alignment horizontal="left"/>
      <protection locked="0"/>
    </xf>
    <xf numFmtId="3" fontId="17" fillId="0" borderId="37" xfId="0" applyNumberFormat="1" applyFont="1" applyBorder="1" applyAlignment="1" applyProtection="1">
      <alignment horizontal="left"/>
      <protection locked="0"/>
    </xf>
    <xf numFmtId="3" fontId="17" fillId="0" borderId="8" xfId="0" applyNumberFormat="1" applyFont="1" applyBorder="1" applyAlignment="1" applyProtection="1">
      <alignment horizontal="center" vertical="center" wrapText="1"/>
      <protection locked="0"/>
    </xf>
    <xf numFmtId="3" fontId="17" fillId="0" borderId="61" xfId="0" applyNumberFormat="1" applyFont="1" applyBorder="1" applyAlignment="1" applyProtection="1">
      <alignment horizontal="center" vertical="center" wrapText="1"/>
      <protection locked="0"/>
    </xf>
    <xf numFmtId="3" fontId="17" fillId="0" borderId="45" xfId="0" applyNumberFormat="1" applyFont="1" applyBorder="1" applyAlignment="1" applyProtection="1">
      <alignment horizontal="center" vertical="center" wrapText="1"/>
      <protection locked="0"/>
    </xf>
    <xf numFmtId="3" fontId="17" fillId="0" borderId="59" xfId="0" applyNumberFormat="1" applyFont="1" applyBorder="1" applyAlignment="1" applyProtection="1">
      <alignment horizontal="left"/>
      <protection locked="0"/>
    </xf>
    <xf numFmtId="3" fontId="17" fillId="0" borderId="38" xfId="0" applyNumberFormat="1" applyFont="1" applyBorder="1" applyAlignment="1" applyProtection="1">
      <alignment horizontal="left"/>
      <protection locked="0"/>
    </xf>
    <xf numFmtId="0" fontId="5" fillId="3" borderId="83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25" fillId="3" borderId="31" xfId="0" applyFont="1" applyFill="1" applyBorder="1" applyAlignment="1">
      <alignment horizontal="center"/>
    </xf>
    <xf numFmtId="0" fontId="25" fillId="3" borderId="34" xfId="0" applyFont="1" applyFill="1" applyBorder="1" applyAlignment="1">
      <alignment horizontal="center"/>
    </xf>
    <xf numFmtId="0" fontId="25" fillId="3" borderId="32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34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3" fontId="5" fillId="3" borderId="34" xfId="0" applyNumberFormat="1" applyFont="1" applyFill="1" applyBorder="1" applyAlignment="1" applyProtection="1">
      <alignment horizontal="center"/>
      <protection locked="0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82" xfId="0" applyFont="1" applyFill="1" applyBorder="1" applyAlignment="1">
      <alignment horizontal="center"/>
    </xf>
    <xf numFmtId="0" fontId="3" fillId="5" borderId="4" xfId="0" applyFont="1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5" xfId="0" applyFill="1" applyBorder="1"/>
    <xf numFmtId="0" fontId="2" fillId="5" borderId="1" xfId="0" applyFont="1" applyFill="1" applyBorder="1" applyAlignment="1"/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2" fillId="5" borderId="4" xfId="0" applyFont="1" applyFill="1" applyBorder="1" applyAlignment="1"/>
    <xf numFmtId="0" fontId="2" fillId="5" borderId="0" xfId="0" applyFont="1" applyFill="1" applyAlignment="1"/>
    <xf numFmtId="0" fontId="2" fillId="5" borderId="5" xfId="0" applyFont="1" applyFill="1" applyBorder="1" applyAlignment="1"/>
    <xf numFmtId="0" fontId="20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</cellXfs>
  <cellStyles count="9">
    <cellStyle name="Millares" xfId="1" builtinId="3"/>
    <cellStyle name="Millares_PRELIMINAR 2005" xfId="8" xr:uid="{00000000-0005-0000-0000-000001000000}"/>
    <cellStyle name="Millares_PRELIMINARES ENERO  05" xfId="6" xr:uid="{00000000-0005-0000-0000-000002000000}"/>
    <cellStyle name="Moneda" xfId="2" builtinId="4"/>
    <cellStyle name="Moneda_Hoja1" xfId="5" xr:uid="{00000000-0005-0000-0000-000004000000}"/>
    <cellStyle name="Moneda_PRELIMINAR 2005" xfId="7" xr:uid="{00000000-0005-0000-0000-000005000000}"/>
    <cellStyle name="Normal" xfId="0" builtinId="0"/>
    <cellStyle name="Porcentaje" xfId="3" builtinId="5"/>
    <cellStyle name="Porcentual_Hoja1" xfId="4" xr:uid="{00000000-0005-0000-0000-00000800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449609</xdr:colOff>
      <xdr:row>3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2469D1-C96F-1989-7619-481FDE4A2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5" y="0"/>
          <a:ext cx="1973609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1209675</xdr:colOff>
      <xdr:row>3</xdr:row>
      <xdr:rowOff>28575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C10E5ACB-1399-41CC-BA39-0A9725D52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486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155574</xdr:colOff>
      <xdr:row>0</xdr:row>
      <xdr:rowOff>100012</xdr:rowOff>
    </xdr:from>
    <xdr:to>
      <xdr:col>5</xdr:col>
      <xdr:colOff>323850</xdr:colOff>
      <xdr:row>2</xdr:row>
      <xdr:rowOff>57150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1A2E700-A615-4B80-9120-FAFBBA78B4BB}"/>
            </a:ext>
          </a:extLst>
        </xdr:cNvPr>
        <xdr:cNvSpPr txBox="1"/>
      </xdr:nvSpPr>
      <xdr:spPr>
        <a:xfrm>
          <a:off x="2403474" y="100012"/>
          <a:ext cx="3654426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NOMBRE DE UNIDAD PRODUCTIVA</a:t>
          </a:r>
        </a:p>
      </xdr:txBody>
    </xdr:sp>
    <xdr:clientData/>
  </xdr:twoCellAnchor>
  <xdr:twoCellAnchor>
    <xdr:from>
      <xdr:col>2</xdr:col>
      <xdr:colOff>41274</xdr:colOff>
      <xdr:row>1</xdr:row>
      <xdr:rowOff>147637</xdr:rowOff>
    </xdr:from>
    <xdr:to>
      <xdr:col>6</xdr:col>
      <xdr:colOff>590550</xdr:colOff>
      <xdr:row>2</xdr:row>
      <xdr:rowOff>366712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B01F1A4-2B8D-4334-ADC8-9A7C519714A1}"/>
            </a:ext>
          </a:extLst>
        </xdr:cNvPr>
        <xdr:cNvSpPr txBox="1"/>
      </xdr:nvSpPr>
      <xdr:spPr>
        <a:xfrm>
          <a:off x="1127124" y="347662"/>
          <a:ext cx="6302376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INFORME ESTADO DE RESULTADOS OPERACIONAL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0</xdr:rowOff>
    </xdr:from>
    <xdr:to>
      <xdr:col>9</xdr:col>
      <xdr:colOff>1192559</xdr:colOff>
      <xdr:row>1</xdr:row>
      <xdr:rowOff>514350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000AD1-07D5-4887-A9DF-AFFF00C36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0"/>
          <a:ext cx="1973609" cy="8477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9525</xdr:rowOff>
    </xdr:from>
    <xdr:to>
      <xdr:col>7</xdr:col>
      <xdr:colOff>1076325</xdr:colOff>
      <xdr:row>1</xdr:row>
      <xdr:rowOff>533400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206816CE-DAC8-4096-A39F-51CF0357A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"/>
          <a:ext cx="80486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2203449</xdr:colOff>
      <xdr:row>0</xdr:row>
      <xdr:rowOff>109537</xdr:rowOff>
    </xdr:from>
    <xdr:to>
      <xdr:col>6</xdr:col>
      <xdr:colOff>0</xdr:colOff>
      <xdr:row>1</xdr:row>
      <xdr:rowOff>133350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2BC5927C-5919-4619-AC5E-66F4E8393921}"/>
            </a:ext>
          </a:extLst>
        </xdr:cNvPr>
        <xdr:cNvSpPr txBox="1"/>
      </xdr:nvSpPr>
      <xdr:spPr>
        <a:xfrm>
          <a:off x="2536824" y="109537"/>
          <a:ext cx="3654426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NOMBRE DE UNIDAD PRODUCTIVA</a:t>
          </a:r>
        </a:p>
      </xdr:txBody>
    </xdr:sp>
    <xdr:clientData/>
  </xdr:twoCellAnchor>
  <xdr:twoCellAnchor>
    <xdr:from>
      <xdr:col>2</xdr:col>
      <xdr:colOff>927099</xdr:colOff>
      <xdr:row>1</xdr:row>
      <xdr:rowOff>23812</xdr:rowOff>
    </xdr:from>
    <xdr:to>
      <xdr:col>7</xdr:col>
      <xdr:colOff>457200</xdr:colOff>
      <xdr:row>2</xdr:row>
      <xdr:rowOff>109537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E246884-1C7E-4668-BE7C-2EB34D670EB9}"/>
            </a:ext>
          </a:extLst>
        </xdr:cNvPr>
        <xdr:cNvSpPr txBox="1"/>
      </xdr:nvSpPr>
      <xdr:spPr>
        <a:xfrm>
          <a:off x="1260474" y="357187"/>
          <a:ext cx="6302376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P&amp;G MENSUAL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workbookViewId="0">
      <selection activeCell="L6" sqref="L6"/>
    </sheetView>
  </sheetViews>
  <sheetFormatPr baseColWidth="10" defaultRowHeight="15" x14ac:dyDescent="0.25"/>
  <cols>
    <col min="1" max="1" width="4.85546875" customWidth="1"/>
    <col min="3" max="3" width="17.42578125" customWidth="1"/>
    <col min="4" max="4" width="35.7109375" customWidth="1"/>
    <col min="5" max="6" width="16.5703125" style="3" customWidth="1"/>
    <col min="7" max="7" width="18.42578125" customWidth="1"/>
    <col min="257" max="257" width="4.85546875" customWidth="1"/>
    <col min="259" max="259" width="17.42578125" customWidth="1"/>
    <col min="260" max="260" width="35.7109375" customWidth="1"/>
    <col min="261" max="262" width="16.5703125" customWidth="1"/>
    <col min="263" max="263" width="18.42578125" customWidth="1"/>
    <col min="513" max="513" width="4.85546875" customWidth="1"/>
    <col min="515" max="515" width="17.42578125" customWidth="1"/>
    <col min="516" max="516" width="35.7109375" customWidth="1"/>
    <col min="517" max="518" width="16.5703125" customWidth="1"/>
    <col min="519" max="519" width="18.42578125" customWidth="1"/>
    <col min="769" max="769" width="4.85546875" customWidth="1"/>
    <col min="771" max="771" width="17.42578125" customWidth="1"/>
    <col min="772" max="772" width="35.7109375" customWidth="1"/>
    <col min="773" max="774" width="16.5703125" customWidth="1"/>
    <col min="775" max="775" width="18.42578125" customWidth="1"/>
    <col min="1025" max="1025" width="4.85546875" customWidth="1"/>
    <col min="1027" max="1027" width="17.42578125" customWidth="1"/>
    <col min="1028" max="1028" width="35.7109375" customWidth="1"/>
    <col min="1029" max="1030" width="16.5703125" customWidth="1"/>
    <col min="1031" max="1031" width="18.42578125" customWidth="1"/>
    <col min="1281" max="1281" width="4.85546875" customWidth="1"/>
    <col min="1283" max="1283" width="17.42578125" customWidth="1"/>
    <col min="1284" max="1284" width="35.7109375" customWidth="1"/>
    <col min="1285" max="1286" width="16.5703125" customWidth="1"/>
    <col min="1287" max="1287" width="18.42578125" customWidth="1"/>
    <col min="1537" max="1537" width="4.85546875" customWidth="1"/>
    <col min="1539" max="1539" width="17.42578125" customWidth="1"/>
    <col min="1540" max="1540" width="35.7109375" customWidth="1"/>
    <col min="1541" max="1542" width="16.5703125" customWidth="1"/>
    <col min="1543" max="1543" width="18.42578125" customWidth="1"/>
    <col min="1793" max="1793" width="4.85546875" customWidth="1"/>
    <col min="1795" max="1795" width="17.42578125" customWidth="1"/>
    <col min="1796" max="1796" width="35.7109375" customWidth="1"/>
    <col min="1797" max="1798" width="16.5703125" customWidth="1"/>
    <col min="1799" max="1799" width="18.42578125" customWidth="1"/>
    <col min="2049" max="2049" width="4.85546875" customWidth="1"/>
    <col min="2051" max="2051" width="17.42578125" customWidth="1"/>
    <col min="2052" max="2052" width="35.7109375" customWidth="1"/>
    <col min="2053" max="2054" width="16.5703125" customWidth="1"/>
    <col min="2055" max="2055" width="18.42578125" customWidth="1"/>
    <col min="2305" max="2305" width="4.85546875" customWidth="1"/>
    <col min="2307" max="2307" width="17.42578125" customWidth="1"/>
    <col min="2308" max="2308" width="35.7109375" customWidth="1"/>
    <col min="2309" max="2310" width="16.5703125" customWidth="1"/>
    <col min="2311" max="2311" width="18.42578125" customWidth="1"/>
    <col min="2561" max="2561" width="4.85546875" customWidth="1"/>
    <col min="2563" max="2563" width="17.42578125" customWidth="1"/>
    <col min="2564" max="2564" width="35.7109375" customWidth="1"/>
    <col min="2565" max="2566" width="16.5703125" customWidth="1"/>
    <col min="2567" max="2567" width="18.42578125" customWidth="1"/>
    <col min="2817" max="2817" width="4.85546875" customWidth="1"/>
    <col min="2819" max="2819" width="17.42578125" customWidth="1"/>
    <col min="2820" max="2820" width="35.7109375" customWidth="1"/>
    <col min="2821" max="2822" width="16.5703125" customWidth="1"/>
    <col min="2823" max="2823" width="18.42578125" customWidth="1"/>
    <col min="3073" max="3073" width="4.85546875" customWidth="1"/>
    <col min="3075" max="3075" width="17.42578125" customWidth="1"/>
    <col min="3076" max="3076" width="35.7109375" customWidth="1"/>
    <col min="3077" max="3078" width="16.5703125" customWidth="1"/>
    <col min="3079" max="3079" width="18.42578125" customWidth="1"/>
    <col min="3329" max="3329" width="4.85546875" customWidth="1"/>
    <col min="3331" max="3331" width="17.42578125" customWidth="1"/>
    <col min="3332" max="3332" width="35.7109375" customWidth="1"/>
    <col min="3333" max="3334" width="16.5703125" customWidth="1"/>
    <col min="3335" max="3335" width="18.42578125" customWidth="1"/>
    <col min="3585" max="3585" width="4.85546875" customWidth="1"/>
    <col min="3587" max="3587" width="17.42578125" customWidth="1"/>
    <col min="3588" max="3588" width="35.7109375" customWidth="1"/>
    <col min="3589" max="3590" width="16.5703125" customWidth="1"/>
    <col min="3591" max="3591" width="18.42578125" customWidth="1"/>
    <col min="3841" max="3841" width="4.85546875" customWidth="1"/>
    <col min="3843" max="3843" width="17.42578125" customWidth="1"/>
    <col min="3844" max="3844" width="35.7109375" customWidth="1"/>
    <col min="3845" max="3846" width="16.5703125" customWidth="1"/>
    <col min="3847" max="3847" width="18.42578125" customWidth="1"/>
    <col min="4097" max="4097" width="4.85546875" customWidth="1"/>
    <col min="4099" max="4099" width="17.42578125" customWidth="1"/>
    <col min="4100" max="4100" width="35.7109375" customWidth="1"/>
    <col min="4101" max="4102" width="16.5703125" customWidth="1"/>
    <col min="4103" max="4103" width="18.42578125" customWidth="1"/>
    <col min="4353" max="4353" width="4.85546875" customWidth="1"/>
    <col min="4355" max="4355" width="17.42578125" customWidth="1"/>
    <col min="4356" max="4356" width="35.7109375" customWidth="1"/>
    <col min="4357" max="4358" width="16.5703125" customWidth="1"/>
    <col min="4359" max="4359" width="18.42578125" customWidth="1"/>
    <col min="4609" max="4609" width="4.85546875" customWidth="1"/>
    <col min="4611" max="4611" width="17.42578125" customWidth="1"/>
    <col min="4612" max="4612" width="35.7109375" customWidth="1"/>
    <col min="4613" max="4614" width="16.5703125" customWidth="1"/>
    <col min="4615" max="4615" width="18.42578125" customWidth="1"/>
    <col min="4865" max="4865" width="4.85546875" customWidth="1"/>
    <col min="4867" max="4867" width="17.42578125" customWidth="1"/>
    <col min="4868" max="4868" width="35.7109375" customWidth="1"/>
    <col min="4869" max="4870" width="16.5703125" customWidth="1"/>
    <col min="4871" max="4871" width="18.42578125" customWidth="1"/>
    <col min="5121" max="5121" width="4.85546875" customWidth="1"/>
    <col min="5123" max="5123" width="17.42578125" customWidth="1"/>
    <col min="5124" max="5124" width="35.7109375" customWidth="1"/>
    <col min="5125" max="5126" width="16.5703125" customWidth="1"/>
    <col min="5127" max="5127" width="18.42578125" customWidth="1"/>
    <col min="5377" max="5377" width="4.85546875" customWidth="1"/>
    <col min="5379" max="5379" width="17.42578125" customWidth="1"/>
    <col min="5380" max="5380" width="35.7109375" customWidth="1"/>
    <col min="5381" max="5382" width="16.5703125" customWidth="1"/>
    <col min="5383" max="5383" width="18.42578125" customWidth="1"/>
    <col min="5633" max="5633" width="4.85546875" customWidth="1"/>
    <col min="5635" max="5635" width="17.42578125" customWidth="1"/>
    <col min="5636" max="5636" width="35.7109375" customWidth="1"/>
    <col min="5637" max="5638" width="16.5703125" customWidth="1"/>
    <col min="5639" max="5639" width="18.42578125" customWidth="1"/>
    <col min="5889" max="5889" width="4.85546875" customWidth="1"/>
    <col min="5891" max="5891" width="17.42578125" customWidth="1"/>
    <col min="5892" max="5892" width="35.7109375" customWidth="1"/>
    <col min="5893" max="5894" width="16.5703125" customWidth="1"/>
    <col min="5895" max="5895" width="18.42578125" customWidth="1"/>
    <col min="6145" max="6145" width="4.85546875" customWidth="1"/>
    <col min="6147" max="6147" width="17.42578125" customWidth="1"/>
    <col min="6148" max="6148" width="35.7109375" customWidth="1"/>
    <col min="6149" max="6150" width="16.5703125" customWidth="1"/>
    <col min="6151" max="6151" width="18.42578125" customWidth="1"/>
    <col min="6401" max="6401" width="4.85546875" customWidth="1"/>
    <col min="6403" max="6403" width="17.42578125" customWidth="1"/>
    <col min="6404" max="6404" width="35.7109375" customWidth="1"/>
    <col min="6405" max="6406" width="16.5703125" customWidth="1"/>
    <col min="6407" max="6407" width="18.42578125" customWidth="1"/>
    <col min="6657" max="6657" width="4.85546875" customWidth="1"/>
    <col min="6659" max="6659" width="17.42578125" customWidth="1"/>
    <col min="6660" max="6660" width="35.7109375" customWidth="1"/>
    <col min="6661" max="6662" width="16.5703125" customWidth="1"/>
    <col min="6663" max="6663" width="18.42578125" customWidth="1"/>
    <col min="6913" max="6913" width="4.85546875" customWidth="1"/>
    <col min="6915" max="6915" width="17.42578125" customWidth="1"/>
    <col min="6916" max="6916" width="35.7109375" customWidth="1"/>
    <col min="6917" max="6918" width="16.5703125" customWidth="1"/>
    <col min="6919" max="6919" width="18.42578125" customWidth="1"/>
    <col min="7169" max="7169" width="4.85546875" customWidth="1"/>
    <col min="7171" max="7171" width="17.42578125" customWidth="1"/>
    <col min="7172" max="7172" width="35.7109375" customWidth="1"/>
    <col min="7173" max="7174" width="16.5703125" customWidth="1"/>
    <col min="7175" max="7175" width="18.42578125" customWidth="1"/>
    <col min="7425" max="7425" width="4.85546875" customWidth="1"/>
    <col min="7427" max="7427" width="17.42578125" customWidth="1"/>
    <col min="7428" max="7428" width="35.7109375" customWidth="1"/>
    <col min="7429" max="7430" width="16.5703125" customWidth="1"/>
    <col min="7431" max="7431" width="18.42578125" customWidth="1"/>
    <col min="7681" max="7681" width="4.85546875" customWidth="1"/>
    <col min="7683" max="7683" width="17.42578125" customWidth="1"/>
    <col min="7684" max="7684" width="35.7109375" customWidth="1"/>
    <col min="7685" max="7686" width="16.5703125" customWidth="1"/>
    <col min="7687" max="7687" width="18.42578125" customWidth="1"/>
    <col min="7937" max="7937" width="4.85546875" customWidth="1"/>
    <col min="7939" max="7939" width="17.42578125" customWidth="1"/>
    <col min="7940" max="7940" width="35.7109375" customWidth="1"/>
    <col min="7941" max="7942" width="16.5703125" customWidth="1"/>
    <col min="7943" max="7943" width="18.42578125" customWidth="1"/>
    <col min="8193" max="8193" width="4.85546875" customWidth="1"/>
    <col min="8195" max="8195" width="17.42578125" customWidth="1"/>
    <col min="8196" max="8196" width="35.7109375" customWidth="1"/>
    <col min="8197" max="8198" width="16.5703125" customWidth="1"/>
    <col min="8199" max="8199" width="18.42578125" customWidth="1"/>
    <col min="8449" max="8449" width="4.85546875" customWidth="1"/>
    <col min="8451" max="8451" width="17.42578125" customWidth="1"/>
    <col min="8452" max="8452" width="35.7109375" customWidth="1"/>
    <col min="8453" max="8454" width="16.5703125" customWidth="1"/>
    <col min="8455" max="8455" width="18.42578125" customWidth="1"/>
    <col min="8705" max="8705" width="4.85546875" customWidth="1"/>
    <col min="8707" max="8707" width="17.42578125" customWidth="1"/>
    <col min="8708" max="8708" width="35.7109375" customWidth="1"/>
    <col min="8709" max="8710" width="16.5703125" customWidth="1"/>
    <col min="8711" max="8711" width="18.42578125" customWidth="1"/>
    <col min="8961" max="8961" width="4.85546875" customWidth="1"/>
    <col min="8963" max="8963" width="17.42578125" customWidth="1"/>
    <col min="8964" max="8964" width="35.7109375" customWidth="1"/>
    <col min="8965" max="8966" width="16.5703125" customWidth="1"/>
    <col min="8967" max="8967" width="18.42578125" customWidth="1"/>
    <col min="9217" max="9217" width="4.85546875" customWidth="1"/>
    <col min="9219" max="9219" width="17.42578125" customWidth="1"/>
    <col min="9220" max="9220" width="35.7109375" customWidth="1"/>
    <col min="9221" max="9222" width="16.5703125" customWidth="1"/>
    <col min="9223" max="9223" width="18.42578125" customWidth="1"/>
    <col min="9473" max="9473" width="4.85546875" customWidth="1"/>
    <col min="9475" max="9475" width="17.42578125" customWidth="1"/>
    <col min="9476" max="9476" width="35.7109375" customWidth="1"/>
    <col min="9477" max="9478" width="16.5703125" customWidth="1"/>
    <col min="9479" max="9479" width="18.42578125" customWidth="1"/>
    <col min="9729" max="9729" width="4.85546875" customWidth="1"/>
    <col min="9731" max="9731" width="17.42578125" customWidth="1"/>
    <col min="9732" max="9732" width="35.7109375" customWidth="1"/>
    <col min="9733" max="9734" width="16.5703125" customWidth="1"/>
    <col min="9735" max="9735" width="18.42578125" customWidth="1"/>
    <col min="9985" max="9985" width="4.85546875" customWidth="1"/>
    <col min="9987" max="9987" width="17.42578125" customWidth="1"/>
    <col min="9988" max="9988" width="35.7109375" customWidth="1"/>
    <col min="9989" max="9990" width="16.5703125" customWidth="1"/>
    <col min="9991" max="9991" width="18.42578125" customWidth="1"/>
    <col min="10241" max="10241" width="4.85546875" customWidth="1"/>
    <col min="10243" max="10243" width="17.42578125" customWidth="1"/>
    <col min="10244" max="10244" width="35.7109375" customWidth="1"/>
    <col min="10245" max="10246" width="16.5703125" customWidth="1"/>
    <col min="10247" max="10247" width="18.42578125" customWidth="1"/>
    <col min="10497" max="10497" width="4.85546875" customWidth="1"/>
    <col min="10499" max="10499" width="17.42578125" customWidth="1"/>
    <col min="10500" max="10500" width="35.7109375" customWidth="1"/>
    <col min="10501" max="10502" width="16.5703125" customWidth="1"/>
    <col min="10503" max="10503" width="18.42578125" customWidth="1"/>
    <col min="10753" max="10753" width="4.85546875" customWidth="1"/>
    <col min="10755" max="10755" width="17.42578125" customWidth="1"/>
    <col min="10756" max="10756" width="35.7109375" customWidth="1"/>
    <col min="10757" max="10758" width="16.5703125" customWidth="1"/>
    <col min="10759" max="10759" width="18.42578125" customWidth="1"/>
    <col min="11009" max="11009" width="4.85546875" customWidth="1"/>
    <col min="11011" max="11011" width="17.42578125" customWidth="1"/>
    <col min="11012" max="11012" width="35.7109375" customWidth="1"/>
    <col min="11013" max="11014" width="16.5703125" customWidth="1"/>
    <col min="11015" max="11015" width="18.42578125" customWidth="1"/>
    <col min="11265" max="11265" width="4.85546875" customWidth="1"/>
    <col min="11267" max="11267" width="17.42578125" customWidth="1"/>
    <col min="11268" max="11268" width="35.7109375" customWidth="1"/>
    <col min="11269" max="11270" width="16.5703125" customWidth="1"/>
    <col min="11271" max="11271" width="18.42578125" customWidth="1"/>
    <col min="11521" max="11521" width="4.85546875" customWidth="1"/>
    <col min="11523" max="11523" width="17.42578125" customWidth="1"/>
    <col min="11524" max="11524" width="35.7109375" customWidth="1"/>
    <col min="11525" max="11526" width="16.5703125" customWidth="1"/>
    <col min="11527" max="11527" width="18.42578125" customWidth="1"/>
    <col min="11777" max="11777" width="4.85546875" customWidth="1"/>
    <col min="11779" max="11779" width="17.42578125" customWidth="1"/>
    <col min="11780" max="11780" width="35.7109375" customWidth="1"/>
    <col min="11781" max="11782" width="16.5703125" customWidth="1"/>
    <col min="11783" max="11783" width="18.42578125" customWidth="1"/>
    <col min="12033" max="12033" width="4.85546875" customWidth="1"/>
    <col min="12035" max="12035" width="17.42578125" customWidth="1"/>
    <col min="12036" max="12036" width="35.7109375" customWidth="1"/>
    <col min="12037" max="12038" width="16.5703125" customWidth="1"/>
    <col min="12039" max="12039" width="18.42578125" customWidth="1"/>
    <col min="12289" max="12289" width="4.85546875" customWidth="1"/>
    <col min="12291" max="12291" width="17.42578125" customWidth="1"/>
    <col min="12292" max="12292" width="35.7109375" customWidth="1"/>
    <col min="12293" max="12294" width="16.5703125" customWidth="1"/>
    <col min="12295" max="12295" width="18.42578125" customWidth="1"/>
    <col min="12545" max="12545" width="4.85546875" customWidth="1"/>
    <col min="12547" max="12547" width="17.42578125" customWidth="1"/>
    <col min="12548" max="12548" width="35.7109375" customWidth="1"/>
    <col min="12549" max="12550" width="16.5703125" customWidth="1"/>
    <col min="12551" max="12551" width="18.42578125" customWidth="1"/>
    <col min="12801" max="12801" width="4.85546875" customWidth="1"/>
    <col min="12803" max="12803" width="17.42578125" customWidth="1"/>
    <col min="12804" max="12804" width="35.7109375" customWidth="1"/>
    <col min="12805" max="12806" width="16.5703125" customWidth="1"/>
    <col min="12807" max="12807" width="18.42578125" customWidth="1"/>
    <col min="13057" max="13057" width="4.85546875" customWidth="1"/>
    <col min="13059" max="13059" width="17.42578125" customWidth="1"/>
    <col min="13060" max="13060" width="35.7109375" customWidth="1"/>
    <col min="13061" max="13062" width="16.5703125" customWidth="1"/>
    <col min="13063" max="13063" width="18.42578125" customWidth="1"/>
    <col min="13313" max="13313" width="4.85546875" customWidth="1"/>
    <col min="13315" max="13315" width="17.42578125" customWidth="1"/>
    <col min="13316" max="13316" width="35.7109375" customWidth="1"/>
    <col min="13317" max="13318" width="16.5703125" customWidth="1"/>
    <col min="13319" max="13319" width="18.42578125" customWidth="1"/>
    <col min="13569" max="13569" width="4.85546875" customWidth="1"/>
    <col min="13571" max="13571" width="17.42578125" customWidth="1"/>
    <col min="13572" max="13572" width="35.7109375" customWidth="1"/>
    <col min="13573" max="13574" width="16.5703125" customWidth="1"/>
    <col min="13575" max="13575" width="18.42578125" customWidth="1"/>
    <col min="13825" max="13825" width="4.85546875" customWidth="1"/>
    <col min="13827" max="13827" width="17.42578125" customWidth="1"/>
    <col min="13828" max="13828" width="35.7109375" customWidth="1"/>
    <col min="13829" max="13830" width="16.5703125" customWidth="1"/>
    <col min="13831" max="13831" width="18.42578125" customWidth="1"/>
    <col min="14081" max="14081" width="4.85546875" customWidth="1"/>
    <col min="14083" max="14083" width="17.42578125" customWidth="1"/>
    <col min="14084" max="14084" width="35.7109375" customWidth="1"/>
    <col min="14085" max="14086" width="16.5703125" customWidth="1"/>
    <col min="14087" max="14087" width="18.42578125" customWidth="1"/>
    <col min="14337" max="14337" width="4.85546875" customWidth="1"/>
    <col min="14339" max="14339" width="17.42578125" customWidth="1"/>
    <col min="14340" max="14340" width="35.7109375" customWidth="1"/>
    <col min="14341" max="14342" width="16.5703125" customWidth="1"/>
    <col min="14343" max="14343" width="18.42578125" customWidth="1"/>
    <col min="14593" max="14593" width="4.85546875" customWidth="1"/>
    <col min="14595" max="14595" width="17.42578125" customWidth="1"/>
    <col min="14596" max="14596" width="35.7109375" customWidth="1"/>
    <col min="14597" max="14598" width="16.5703125" customWidth="1"/>
    <col min="14599" max="14599" width="18.42578125" customWidth="1"/>
    <col min="14849" max="14849" width="4.85546875" customWidth="1"/>
    <col min="14851" max="14851" width="17.42578125" customWidth="1"/>
    <col min="14852" max="14852" width="35.7109375" customWidth="1"/>
    <col min="14853" max="14854" width="16.5703125" customWidth="1"/>
    <col min="14855" max="14855" width="18.42578125" customWidth="1"/>
    <col min="15105" max="15105" width="4.85546875" customWidth="1"/>
    <col min="15107" max="15107" width="17.42578125" customWidth="1"/>
    <col min="15108" max="15108" width="35.7109375" customWidth="1"/>
    <col min="15109" max="15110" width="16.5703125" customWidth="1"/>
    <col min="15111" max="15111" width="18.42578125" customWidth="1"/>
    <col min="15361" max="15361" width="4.85546875" customWidth="1"/>
    <col min="15363" max="15363" width="17.42578125" customWidth="1"/>
    <col min="15364" max="15364" width="35.7109375" customWidth="1"/>
    <col min="15365" max="15366" width="16.5703125" customWidth="1"/>
    <col min="15367" max="15367" width="18.42578125" customWidth="1"/>
    <col min="15617" max="15617" width="4.85546875" customWidth="1"/>
    <col min="15619" max="15619" width="17.42578125" customWidth="1"/>
    <col min="15620" max="15620" width="35.7109375" customWidth="1"/>
    <col min="15621" max="15622" width="16.5703125" customWidth="1"/>
    <col min="15623" max="15623" width="18.42578125" customWidth="1"/>
    <col min="15873" max="15873" width="4.85546875" customWidth="1"/>
    <col min="15875" max="15875" width="17.42578125" customWidth="1"/>
    <col min="15876" max="15876" width="35.7109375" customWidth="1"/>
    <col min="15877" max="15878" width="16.5703125" customWidth="1"/>
    <col min="15879" max="15879" width="18.42578125" customWidth="1"/>
    <col min="16129" max="16129" width="4.85546875" customWidth="1"/>
    <col min="16131" max="16131" width="17.42578125" customWidth="1"/>
    <col min="16132" max="16132" width="35.7109375" customWidth="1"/>
    <col min="16133" max="16134" width="16.5703125" customWidth="1"/>
    <col min="16135" max="16135" width="18.42578125" customWidth="1"/>
  </cols>
  <sheetData>
    <row r="1" spans="1:9" ht="15.75" customHeight="1" x14ac:dyDescent="0.25">
      <c r="A1" s="356"/>
      <c r="B1" s="357"/>
      <c r="C1" s="357"/>
      <c r="D1" s="357"/>
      <c r="E1" s="357"/>
      <c r="F1" s="357"/>
      <c r="G1" s="358"/>
    </row>
    <row r="2" spans="1:9" ht="15.75" customHeight="1" x14ac:dyDescent="0.25">
      <c r="A2" s="359"/>
      <c r="B2" s="360"/>
      <c r="C2" s="360"/>
      <c r="D2" s="360"/>
      <c r="E2" s="360"/>
      <c r="F2" s="360"/>
      <c r="G2" s="361"/>
    </row>
    <row r="3" spans="1:9" ht="33.75" customHeight="1" x14ac:dyDescent="0.25">
      <c r="A3" s="352"/>
      <c r="B3" s="353"/>
      <c r="C3" s="353"/>
      <c r="D3" s="353"/>
      <c r="E3" s="354"/>
      <c r="F3" s="354"/>
      <c r="G3" s="355"/>
    </row>
    <row r="4" spans="1:9" x14ac:dyDescent="0.25">
      <c r="A4" s="5"/>
      <c r="B4" s="6"/>
      <c r="C4" s="6"/>
      <c r="D4" s="7"/>
      <c r="E4" s="8"/>
      <c r="F4" s="8"/>
      <c r="G4" s="4"/>
    </row>
    <row r="5" spans="1:9" ht="15.75" thickBot="1" x14ac:dyDescent="0.3">
      <c r="A5" s="9"/>
      <c r="E5" s="10"/>
      <c r="F5" s="10"/>
      <c r="G5" s="11"/>
    </row>
    <row r="6" spans="1:9" ht="16.5" thickBot="1" x14ac:dyDescent="0.3">
      <c r="A6" s="12"/>
      <c r="B6" s="7" t="s">
        <v>0</v>
      </c>
      <c r="C6" s="7"/>
      <c r="D6" s="13">
        <v>0</v>
      </c>
      <c r="E6" s="14"/>
      <c r="F6" s="14"/>
      <c r="G6" s="15"/>
    </row>
    <row r="7" spans="1:9" ht="15.75" thickBot="1" x14ac:dyDescent="0.3">
      <c r="A7" s="12"/>
      <c r="B7" s="7" t="s">
        <v>1</v>
      </c>
      <c r="C7" s="13"/>
      <c r="D7" s="7"/>
      <c r="E7" s="8"/>
      <c r="F7" s="8"/>
      <c r="G7" s="4"/>
    </row>
    <row r="8" spans="1:9" ht="15.75" thickBot="1" x14ac:dyDescent="0.3">
      <c r="A8" s="12"/>
      <c r="B8" s="7" t="s">
        <v>2</v>
      </c>
      <c r="C8" s="13"/>
      <c r="D8" s="7"/>
      <c r="E8" s="8"/>
      <c r="F8" s="8"/>
      <c r="G8" s="4"/>
    </row>
    <row r="9" spans="1:9" ht="15.75" thickBot="1" x14ac:dyDescent="0.3">
      <c r="A9" s="12"/>
      <c r="B9" s="7" t="s">
        <v>3</v>
      </c>
      <c r="C9" s="13"/>
      <c r="D9" s="7"/>
      <c r="E9" s="8"/>
      <c r="F9" s="16"/>
      <c r="G9" s="4"/>
    </row>
    <row r="10" spans="1:9" ht="15.75" thickBot="1" x14ac:dyDescent="0.3">
      <c r="A10" s="12"/>
      <c r="B10" s="7" t="s">
        <v>4</v>
      </c>
      <c r="C10" s="13"/>
      <c r="D10" s="7"/>
      <c r="E10" s="8"/>
      <c r="F10" s="8"/>
      <c r="G10" s="4"/>
    </row>
    <row r="11" spans="1:9" ht="16.5" thickBot="1" x14ac:dyDescent="0.3">
      <c r="A11" s="2"/>
      <c r="B11" s="17" t="s">
        <v>5</v>
      </c>
      <c r="C11" s="13"/>
      <c r="D11" s="18"/>
      <c r="E11" s="19">
        <v>11658</v>
      </c>
      <c r="F11" s="19">
        <v>11324</v>
      </c>
      <c r="G11" s="11" t="s">
        <v>6</v>
      </c>
    </row>
    <row r="12" spans="1:9" ht="16.5" thickBot="1" x14ac:dyDescent="0.3">
      <c r="A12" s="2"/>
      <c r="B12" s="18"/>
      <c r="C12" s="18"/>
      <c r="D12" s="18"/>
      <c r="E12" s="20"/>
      <c r="F12" s="20"/>
      <c r="G12" s="11"/>
    </row>
    <row r="13" spans="1:9" ht="16.5" thickBot="1" x14ac:dyDescent="0.3">
      <c r="A13" s="21" t="s">
        <v>7</v>
      </c>
      <c r="B13" s="22" t="s">
        <v>8</v>
      </c>
      <c r="C13" s="22"/>
      <c r="D13" s="22"/>
      <c r="E13" s="23">
        <f>SUM(E14:E18)</f>
        <v>54953467</v>
      </c>
      <c r="F13" s="23">
        <f>SUM(F14:F18)</f>
        <v>45889028</v>
      </c>
      <c r="G13" s="24">
        <v>59600000</v>
      </c>
      <c r="H13" s="25"/>
      <c r="I13" s="25"/>
    </row>
    <row r="14" spans="1:9" ht="15.75" x14ac:dyDescent="0.25">
      <c r="A14" s="26"/>
      <c r="B14" s="27" t="s">
        <v>9</v>
      </c>
      <c r="C14" s="27"/>
      <c r="E14" s="28">
        <v>54844267</v>
      </c>
      <c r="F14" s="28">
        <v>45779828</v>
      </c>
      <c r="G14" s="4"/>
    </row>
    <row r="15" spans="1:9" ht="15.75" x14ac:dyDescent="0.25">
      <c r="A15" s="26"/>
      <c r="B15" s="29" t="s">
        <v>10</v>
      </c>
      <c r="C15" s="29"/>
      <c r="D15" s="27" t="s">
        <v>11</v>
      </c>
      <c r="E15" s="30">
        <v>0</v>
      </c>
      <c r="F15" s="30">
        <v>0</v>
      </c>
      <c r="G15" s="31"/>
    </row>
    <row r="16" spans="1:9" x14ac:dyDescent="0.25">
      <c r="A16" s="26"/>
      <c r="B16" s="29" t="s">
        <v>12</v>
      </c>
      <c r="C16" s="29"/>
      <c r="D16" s="32"/>
      <c r="E16" s="33"/>
      <c r="F16" s="33"/>
      <c r="G16" s="4"/>
    </row>
    <row r="17" spans="1:7" ht="15.75" x14ac:dyDescent="0.25">
      <c r="A17" s="26"/>
      <c r="B17" s="29" t="s">
        <v>13</v>
      </c>
      <c r="C17" s="29"/>
      <c r="D17" s="32"/>
      <c r="E17" s="30"/>
      <c r="F17" s="30"/>
      <c r="G17" s="4"/>
    </row>
    <row r="18" spans="1:7" ht="15.75" x14ac:dyDescent="0.25">
      <c r="A18" s="26"/>
      <c r="B18" s="29" t="s">
        <v>14</v>
      </c>
      <c r="C18" s="29"/>
      <c r="D18" s="32"/>
      <c r="E18" s="30">
        <v>109200</v>
      </c>
      <c r="F18" s="30">
        <v>109200</v>
      </c>
      <c r="G18" s="4"/>
    </row>
    <row r="19" spans="1:7" ht="16.5" thickBot="1" x14ac:dyDescent="0.3">
      <c r="A19" s="26"/>
      <c r="B19" s="29" t="s">
        <v>15</v>
      </c>
      <c r="C19" s="29"/>
      <c r="D19" s="32"/>
      <c r="E19" s="34"/>
      <c r="F19" s="34"/>
      <c r="G19" s="4"/>
    </row>
    <row r="20" spans="1:7" ht="16.5" thickBot="1" x14ac:dyDescent="0.3">
      <c r="A20" s="35"/>
      <c r="B20" s="36"/>
      <c r="C20" s="18"/>
      <c r="D20" s="18"/>
      <c r="E20" s="1"/>
      <c r="F20" s="1"/>
      <c r="G20" s="11"/>
    </row>
    <row r="21" spans="1:7" ht="16.5" thickBot="1" x14ac:dyDescent="0.3">
      <c r="A21" s="21" t="s">
        <v>16</v>
      </c>
      <c r="B21" s="37" t="s">
        <v>17</v>
      </c>
      <c r="C21" s="37"/>
      <c r="D21" s="37"/>
      <c r="E21" s="38">
        <f>E23+E24+E25+E26-E27-E28</f>
        <v>31270780</v>
      </c>
      <c r="F21" s="38">
        <f>F23+F24+F25+F26-F27-F28</f>
        <v>28751786</v>
      </c>
      <c r="G21" s="39"/>
    </row>
    <row r="22" spans="1:7" ht="16.5" thickBot="1" x14ac:dyDescent="0.3">
      <c r="A22" s="40"/>
      <c r="B22" s="7" t="s">
        <v>18</v>
      </c>
      <c r="C22" s="7"/>
      <c r="D22" s="7"/>
      <c r="E22" s="41">
        <f>E21/E13</f>
        <v>0.56904107615266564</v>
      </c>
      <c r="F22" s="41">
        <f>F21/F13</f>
        <v>0.62655033791519843</v>
      </c>
      <c r="G22" s="42">
        <v>0.54</v>
      </c>
    </row>
    <row r="23" spans="1:7" ht="15.75" x14ac:dyDescent="0.25">
      <c r="A23" s="35"/>
      <c r="B23" s="29" t="s">
        <v>19</v>
      </c>
      <c r="C23" s="29"/>
      <c r="D23" s="32"/>
      <c r="E23" s="43">
        <v>4560180</v>
      </c>
      <c r="F23" s="43">
        <v>5240828</v>
      </c>
      <c r="G23" s="43"/>
    </row>
    <row r="24" spans="1:7" ht="15.75" x14ac:dyDescent="0.25">
      <c r="A24" s="35"/>
      <c r="B24" s="29" t="s">
        <v>20</v>
      </c>
      <c r="C24" s="29"/>
      <c r="D24" s="32"/>
      <c r="E24" s="43">
        <v>34130850</v>
      </c>
      <c r="F24" s="43">
        <f>28356487-106200</f>
        <v>28250287</v>
      </c>
      <c r="G24" s="43"/>
    </row>
    <row r="25" spans="1:7" ht="15.75" x14ac:dyDescent="0.25">
      <c r="A25" s="35"/>
      <c r="B25" s="29" t="s">
        <v>21</v>
      </c>
      <c r="C25" s="29"/>
      <c r="D25" s="32"/>
      <c r="E25" s="43">
        <v>0</v>
      </c>
      <c r="F25" s="43">
        <v>0</v>
      </c>
      <c r="G25" s="44"/>
    </row>
    <row r="26" spans="1:7" ht="15.75" x14ac:dyDescent="0.25">
      <c r="A26" s="35"/>
      <c r="B26" s="29" t="s">
        <v>22</v>
      </c>
      <c r="C26" s="29"/>
      <c r="D26" s="32"/>
      <c r="E26" s="43">
        <v>131260</v>
      </c>
      <c r="F26" s="43">
        <v>67315</v>
      </c>
      <c r="G26" s="45"/>
    </row>
    <row r="27" spans="1:7" ht="15.75" x14ac:dyDescent="0.25">
      <c r="A27" s="35"/>
      <c r="B27" s="29" t="s">
        <v>23</v>
      </c>
      <c r="C27" s="29"/>
      <c r="D27" s="32"/>
      <c r="E27" s="43">
        <f>2169200+141482</f>
        <v>2310682</v>
      </c>
      <c r="F27" s="43">
        <v>0</v>
      </c>
      <c r="G27" s="43"/>
    </row>
    <row r="28" spans="1:7" ht="15.75" x14ac:dyDescent="0.25">
      <c r="A28" s="35"/>
      <c r="B28" s="29" t="s">
        <v>24</v>
      </c>
      <c r="C28" s="29"/>
      <c r="D28" s="32"/>
      <c r="E28" s="43">
        <v>5240828</v>
      </c>
      <c r="F28" s="43">
        <v>4806644</v>
      </c>
      <c r="G28" s="46"/>
    </row>
    <row r="29" spans="1:7" ht="16.5" thickBot="1" x14ac:dyDescent="0.3">
      <c r="A29" s="35"/>
      <c r="B29" s="47" t="s">
        <v>25</v>
      </c>
      <c r="C29" s="47"/>
      <c r="D29" s="32"/>
      <c r="E29" s="48"/>
      <c r="F29" s="48"/>
      <c r="G29" s="49"/>
    </row>
    <row r="30" spans="1:7" ht="16.5" thickBot="1" x14ac:dyDescent="0.3">
      <c r="A30" s="35"/>
      <c r="B30" s="36"/>
      <c r="C30" s="32"/>
      <c r="D30" s="32"/>
      <c r="E30" s="50"/>
      <c r="F30" s="50"/>
      <c r="G30" s="51" t="s">
        <v>6</v>
      </c>
    </row>
    <row r="31" spans="1:7" ht="16.5" thickBot="1" x14ac:dyDescent="0.3">
      <c r="A31" s="21" t="s">
        <v>26</v>
      </c>
      <c r="B31" s="37" t="s">
        <v>27</v>
      </c>
      <c r="C31" s="37"/>
      <c r="D31" s="22"/>
      <c r="E31" s="52">
        <f>SUM(E33+E34+E36)</f>
        <v>13607082.992619999</v>
      </c>
      <c r="F31" s="52">
        <f>SUM(F33+F34+F36+F37+F38)</f>
        <v>8308928</v>
      </c>
      <c r="G31" s="53">
        <v>0.22650000000000001</v>
      </c>
    </row>
    <row r="32" spans="1:7" ht="15.75" x14ac:dyDescent="0.25">
      <c r="A32" s="40"/>
      <c r="B32" s="7" t="s">
        <v>28</v>
      </c>
      <c r="C32" s="7"/>
      <c r="D32" s="7"/>
      <c r="E32" s="54">
        <f>E31/E13</f>
        <v>0.24761100136994085</v>
      </c>
      <c r="F32" s="54">
        <f>F31/F13</f>
        <v>0.18106567870646553</v>
      </c>
      <c r="G32" s="55"/>
    </row>
    <row r="33" spans="1:7" ht="15.75" x14ac:dyDescent="0.25">
      <c r="A33" s="35"/>
      <c r="B33" s="29" t="s">
        <v>29</v>
      </c>
      <c r="C33" s="29"/>
      <c r="D33" s="32"/>
      <c r="E33" s="30">
        <v>8177986</v>
      </c>
      <c r="F33" s="30">
        <v>8177986</v>
      </c>
      <c r="G33" s="56"/>
    </row>
    <row r="34" spans="1:7" ht="15.75" x14ac:dyDescent="0.25">
      <c r="A34" s="35"/>
      <c r="B34" s="29" t="s">
        <v>30</v>
      </c>
      <c r="C34" s="29"/>
      <c r="D34" s="32"/>
      <c r="E34" s="30">
        <f>+E33*53.054%</f>
        <v>4338748.6924400004</v>
      </c>
      <c r="F34" s="30">
        <v>0</v>
      </c>
      <c r="G34" s="56"/>
    </row>
    <row r="35" spans="1:7" ht="15.75" x14ac:dyDescent="0.25">
      <c r="A35" s="35"/>
      <c r="B35" s="29" t="s">
        <v>31</v>
      </c>
      <c r="C35" s="29"/>
      <c r="D35" s="32"/>
      <c r="E35" s="30">
        <v>2055167</v>
      </c>
      <c r="F35" s="30">
        <v>0</v>
      </c>
      <c r="G35" s="56"/>
    </row>
    <row r="36" spans="1:7" ht="15.75" x14ac:dyDescent="0.25">
      <c r="A36" s="35"/>
      <c r="B36" s="29" t="s">
        <v>32</v>
      </c>
      <c r="C36" s="29"/>
      <c r="D36" s="32"/>
      <c r="E36" s="57">
        <f>E35*53.054%</f>
        <v>1090348.30018</v>
      </c>
      <c r="F36" s="57">
        <v>0</v>
      </c>
      <c r="G36" s="4"/>
    </row>
    <row r="37" spans="1:7" ht="15.75" x14ac:dyDescent="0.25">
      <c r="A37" s="35"/>
      <c r="B37" s="29" t="s">
        <v>33</v>
      </c>
      <c r="C37" s="29"/>
      <c r="D37" s="29"/>
      <c r="E37" s="58"/>
      <c r="F37" s="58"/>
      <c r="G37" s="4"/>
    </row>
    <row r="38" spans="1:7" ht="15.75" x14ac:dyDescent="0.25">
      <c r="A38" s="35"/>
      <c r="B38" s="29" t="s">
        <v>34</v>
      </c>
      <c r="C38" s="29"/>
      <c r="D38" s="29"/>
      <c r="E38" s="59">
        <v>130942</v>
      </c>
      <c r="F38" s="59">
        <v>130942</v>
      </c>
      <c r="G38" s="4"/>
    </row>
    <row r="39" spans="1:7" ht="15.75" x14ac:dyDescent="0.25">
      <c r="A39" s="35"/>
      <c r="B39" s="267" t="s">
        <v>35</v>
      </c>
      <c r="C39" s="267"/>
      <c r="D39" s="29"/>
      <c r="E39" s="59">
        <v>405471</v>
      </c>
      <c r="F39" s="59">
        <v>405471</v>
      </c>
      <c r="G39" s="60"/>
    </row>
    <row r="40" spans="1:7" ht="16.5" thickBot="1" x14ac:dyDescent="0.3">
      <c r="A40" s="35"/>
      <c r="B40" s="61" t="s">
        <v>36</v>
      </c>
      <c r="C40" s="61"/>
      <c r="D40" s="32"/>
      <c r="E40" s="62"/>
      <c r="F40" s="62"/>
      <c r="G40" s="4"/>
    </row>
    <row r="41" spans="1:7" ht="16.5" thickBot="1" x14ac:dyDescent="0.3">
      <c r="A41" s="35"/>
      <c r="B41" s="36"/>
      <c r="C41" s="18"/>
      <c r="D41" s="18"/>
      <c r="E41" s="63"/>
      <c r="F41" s="63"/>
      <c r="G41" s="11" t="s">
        <v>6</v>
      </c>
    </row>
    <row r="42" spans="1:7" ht="16.5" thickBot="1" x14ac:dyDescent="0.3">
      <c r="A42" s="21" t="s">
        <v>37</v>
      </c>
      <c r="B42" s="37" t="s">
        <v>38</v>
      </c>
      <c r="C42" s="37"/>
      <c r="D42" s="37"/>
      <c r="E42" s="64">
        <f>SUM(E44:E62)</f>
        <v>9070903.0710000005</v>
      </c>
      <c r="F42" s="64">
        <f>SUM(F44:F62)</f>
        <v>8622427.3640000001</v>
      </c>
      <c r="G42" s="65">
        <v>0.16</v>
      </c>
    </row>
    <row r="43" spans="1:7" ht="16.5" thickBot="1" x14ac:dyDescent="0.3">
      <c r="A43" s="40"/>
      <c r="B43" s="7" t="s">
        <v>39</v>
      </c>
      <c r="C43" s="7"/>
      <c r="D43" s="66"/>
      <c r="E43" s="67">
        <f>E42/E13</f>
        <v>0.16506516451455194</v>
      </c>
      <c r="F43" s="67">
        <f>F42/F13</f>
        <v>0.18789736326513606</v>
      </c>
      <c r="G43" s="56"/>
    </row>
    <row r="44" spans="1:7" ht="16.5" thickBot="1" x14ac:dyDescent="0.3">
      <c r="A44" s="35"/>
      <c r="B44" s="29" t="s">
        <v>40</v>
      </c>
      <c r="C44" s="29"/>
      <c r="D44" s="29"/>
      <c r="E44" s="68">
        <f>E13*1.3/100</f>
        <v>714395.07100000011</v>
      </c>
      <c r="F44" s="68">
        <f>F13*1.3/100</f>
        <v>596557.36399999994</v>
      </c>
      <c r="G44" s="4"/>
    </row>
    <row r="45" spans="1:7" ht="15.75" x14ac:dyDescent="0.25">
      <c r="A45" s="35"/>
      <c r="B45" s="29" t="s">
        <v>41</v>
      </c>
      <c r="C45" s="29"/>
      <c r="D45" s="29"/>
      <c r="E45" s="68"/>
      <c r="F45" s="68"/>
      <c r="G45" s="4"/>
    </row>
    <row r="46" spans="1:7" ht="15.75" x14ac:dyDescent="0.25">
      <c r="A46" s="35"/>
      <c r="B46" s="29" t="s">
        <v>42</v>
      </c>
      <c r="C46" s="29"/>
      <c r="D46" s="29"/>
      <c r="E46" s="69"/>
      <c r="F46" s="69"/>
      <c r="G46" s="4"/>
    </row>
    <row r="47" spans="1:7" ht="15.75" x14ac:dyDescent="0.25">
      <c r="A47" s="35"/>
      <c r="B47" s="29" t="s">
        <v>43</v>
      </c>
      <c r="C47" s="29"/>
      <c r="D47" s="29"/>
      <c r="E47" s="69">
        <v>0</v>
      </c>
      <c r="F47" s="69">
        <v>0</v>
      </c>
      <c r="G47" s="70"/>
    </row>
    <row r="48" spans="1:7" ht="15.75" x14ac:dyDescent="0.25">
      <c r="A48" s="35"/>
      <c r="B48" s="29" t="s">
        <v>44</v>
      </c>
      <c r="C48" s="29"/>
      <c r="D48" s="29"/>
      <c r="E48" s="71">
        <v>2261070</v>
      </c>
      <c r="F48" s="71">
        <v>2261070</v>
      </c>
      <c r="G48" s="56"/>
    </row>
    <row r="49" spans="1:7" ht="15.75" x14ac:dyDescent="0.25">
      <c r="A49" s="35"/>
      <c r="B49" s="29" t="s">
        <v>45</v>
      </c>
      <c r="C49" s="29"/>
      <c r="D49" s="29"/>
      <c r="E49" s="72">
        <v>3932616</v>
      </c>
      <c r="F49" s="72">
        <v>4196521</v>
      </c>
      <c r="G49" s="73"/>
    </row>
    <row r="50" spans="1:7" ht="15.75" x14ac:dyDescent="0.25">
      <c r="A50" s="35"/>
      <c r="B50" s="29" t="s">
        <v>46</v>
      </c>
      <c r="C50" s="29"/>
      <c r="D50" s="29"/>
      <c r="E50" s="71">
        <v>0</v>
      </c>
      <c r="F50" s="71">
        <v>0</v>
      </c>
      <c r="G50" s="4"/>
    </row>
    <row r="51" spans="1:7" ht="15.75" x14ac:dyDescent="0.25">
      <c r="A51" s="35"/>
      <c r="B51" s="29" t="s">
        <v>47</v>
      </c>
      <c r="C51" s="29"/>
      <c r="D51" s="29"/>
      <c r="E51" s="71">
        <v>86904</v>
      </c>
      <c r="F51" s="71">
        <v>86904</v>
      </c>
      <c r="G51" s="4"/>
    </row>
    <row r="52" spans="1:7" ht="15.75" x14ac:dyDescent="0.25">
      <c r="A52" s="35"/>
      <c r="B52" s="29" t="s">
        <v>48</v>
      </c>
      <c r="C52" s="29"/>
      <c r="D52" s="29"/>
      <c r="E52" s="71">
        <v>29100</v>
      </c>
      <c r="F52" s="71">
        <v>19000</v>
      </c>
      <c r="G52" s="4"/>
    </row>
    <row r="53" spans="1:7" ht="15.75" x14ac:dyDescent="0.25">
      <c r="A53" s="35"/>
      <c r="B53" s="29" t="s">
        <v>49</v>
      </c>
      <c r="C53" s="29"/>
      <c r="D53" s="29"/>
      <c r="E53" s="71">
        <v>339340</v>
      </c>
      <c r="F53" s="71">
        <v>284800</v>
      </c>
      <c r="G53" s="4"/>
    </row>
    <row r="54" spans="1:7" ht="15.75" x14ac:dyDescent="0.25">
      <c r="A54" s="35"/>
      <c r="B54" s="29" t="s">
        <v>50</v>
      </c>
      <c r="C54" s="29"/>
      <c r="D54" s="29"/>
      <c r="E54" s="71">
        <v>67560</v>
      </c>
      <c r="F54" s="71">
        <f>38850+40000</f>
        <v>78850</v>
      </c>
      <c r="G54" s="4"/>
    </row>
    <row r="55" spans="1:7" ht="15.75" x14ac:dyDescent="0.25">
      <c r="A55" s="35"/>
      <c r="B55" s="29" t="s">
        <v>51</v>
      </c>
      <c r="C55" s="29"/>
      <c r="D55" s="29"/>
      <c r="E55" s="71">
        <v>0</v>
      </c>
      <c r="F55" s="71">
        <v>0</v>
      </c>
      <c r="G55" s="4"/>
    </row>
    <row r="56" spans="1:7" ht="15.75" x14ac:dyDescent="0.25">
      <c r="A56" s="35"/>
      <c r="B56" s="29" t="s">
        <v>52</v>
      </c>
      <c r="C56" s="29"/>
      <c r="D56" s="29"/>
      <c r="E56" s="71">
        <v>186000</v>
      </c>
      <c r="F56" s="71">
        <v>186000</v>
      </c>
      <c r="G56" s="4"/>
    </row>
    <row r="57" spans="1:7" ht="15.75" x14ac:dyDescent="0.25">
      <c r="A57" s="35"/>
      <c r="B57" s="29" t="s">
        <v>53</v>
      </c>
      <c r="C57" s="29"/>
      <c r="D57" s="29"/>
      <c r="E57" s="71">
        <v>745328</v>
      </c>
      <c r="F57" s="71">
        <v>473395</v>
      </c>
      <c r="G57" s="4"/>
    </row>
    <row r="58" spans="1:7" ht="15.75" x14ac:dyDescent="0.25">
      <c r="A58" s="35"/>
      <c r="B58" s="29" t="s">
        <v>54</v>
      </c>
      <c r="C58" s="29"/>
      <c r="D58" s="29"/>
      <c r="E58" s="71">
        <v>0</v>
      </c>
      <c r="F58" s="71">
        <v>0</v>
      </c>
      <c r="G58" s="4"/>
    </row>
    <row r="59" spans="1:7" ht="15.75" x14ac:dyDescent="0.25">
      <c r="A59" s="35"/>
      <c r="B59" s="29" t="s">
        <v>55</v>
      </c>
      <c r="C59" s="29"/>
      <c r="D59" s="29"/>
      <c r="E59" s="71">
        <v>0</v>
      </c>
      <c r="F59" s="71">
        <v>0</v>
      </c>
      <c r="G59" s="4"/>
    </row>
    <row r="60" spans="1:7" ht="15.75" x14ac:dyDescent="0.25">
      <c r="A60" s="35"/>
      <c r="B60" s="29" t="s">
        <v>56</v>
      </c>
      <c r="C60" s="29"/>
      <c r="D60" s="29"/>
      <c r="E60" s="71">
        <v>239000</v>
      </c>
      <c r="F60" s="71">
        <v>239000</v>
      </c>
      <c r="G60" s="70"/>
    </row>
    <row r="61" spans="1:7" ht="15.75" x14ac:dyDescent="0.25">
      <c r="A61" s="35"/>
      <c r="B61" s="29" t="s">
        <v>57</v>
      </c>
      <c r="C61" s="29" t="s">
        <v>248</v>
      </c>
      <c r="D61" s="29"/>
      <c r="E61" s="71">
        <v>222200</v>
      </c>
      <c r="F61" s="71">
        <v>0</v>
      </c>
      <c r="G61" s="70"/>
    </row>
    <row r="62" spans="1:7" ht="16.5" thickBot="1" x14ac:dyDescent="0.3">
      <c r="A62" s="35"/>
      <c r="B62" s="268"/>
      <c r="C62" s="267"/>
      <c r="D62" s="29"/>
      <c r="E62" s="74">
        <v>247390</v>
      </c>
      <c r="F62" s="74">
        <v>200330</v>
      </c>
      <c r="G62" s="70"/>
    </row>
    <row r="63" spans="1:7" ht="16.5" thickBot="1" x14ac:dyDescent="0.3">
      <c r="A63" s="35"/>
      <c r="B63" s="75"/>
      <c r="C63" s="32"/>
      <c r="D63" s="32"/>
      <c r="E63" s="76"/>
      <c r="F63" s="76"/>
      <c r="G63" s="51"/>
    </row>
    <row r="64" spans="1:7" ht="16.5" thickBot="1" x14ac:dyDescent="0.3">
      <c r="A64" s="77" t="s">
        <v>58</v>
      </c>
      <c r="B64" s="22"/>
      <c r="C64" s="22"/>
      <c r="D64" s="37"/>
      <c r="E64" s="64">
        <f>E13-E21-E31-E42</f>
        <v>1004700.9363800008</v>
      </c>
      <c r="F64" s="64">
        <f>F13-F21-F31-F42</f>
        <v>205886.63599999994</v>
      </c>
      <c r="G64" s="65">
        <v>8.6999999999999994E-2</v>
      </c>
    </row>
    <row r="65" spans="1:7" ht="15.75" x14ac:dyDescent="0.25">
      <c r="A65" s="5" t="s">
        <v>59</v>
      </c>
      <c r="B65" s="6"/>
      <c r="C65" s="6"/>
      <c r="D65" s="78"/>
      <c r="E65" s="67">
        <f>E64/E13</f>
        <v>1.8282757962841557E-2</v>
      </c>
      <c r="F65" s="67">
        <f>F64/F13</f>
        <v>4.4866201132000433E-3</v>
      </c>
      <c r="G65" s="79" t="s">
        <v>60</v>
      </c>
    </row>
    <row r="66" spans="1:7" ht="16.5" thickBot="1" x14ac:dyDescent="0.3">
      <c r="A66" s="269" t="s">
        <v>249</v>
      </c>
      <c r="B66" s="270"/>
      <c r="C66" s="270"/>
      <c r="D66" s="270"/>
      <c r="E66" s="80"/>
      <c r="F66" s="80"/>
      <c r="G66" s="81"/>
    </row>
    <row r="67" spans="1:7" ht="15.75" x14ac:dyDescent="0.25">
      <c r="E67" s="82"/>
      <c r="F67" s="82"/>
    </row>
    <row r="68" spans="1:7" ht="28.5" customHeight="1" x14ac:dyDescent="0.35">
      <c r="B68" s="83"/>
      <c r="C68" s="83"/>
      <c r="D68" s="83"/>
      <c r="E68" s="84"/>
      <c r="F68" s="84"/>
    </row>
    <row r="69" spans="1:7" ht="15.75" x14ac:dyDescent="0.25">
      <c r="E69" s="82"/>
      <c r="F69" s="82"/>
    </row>
    <row r="70" spans="1:7" ht="15.75" x14ac:dyDescent="0.25">
      <c r="E70" s="85"/>
      <c r="F70" s="85"/>
    </row>
  </sheetData>
  <mergeCells count="3">
    <mergeCell ref="B39:C39"/>
    <mergeCell ref="B62:C62"/>
    <mergeCell ref="A66:D6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G156"/>
  <sheetViews>
    <sheetView tabSelected="1" workbookViewId="0">
      <selection activeCell="L12" sqref="L12"/>
    </sheetView>
  </sheetViews>
  <sheetFormatPr baseColWidth="10" defaultRowHeight="12.75" x14ac:dyDescent="0.2"/>
  <cols>
    <col min="1" max="1" width="2" style="86" customWidth="1"/>
    <col min="2" max="2" width="3" style="86" bestFit="1" customWidth="1"/>
    <col min="3" max="3" width="35.7109375" style="86" customWidth="1"/>
    <col min="4" max="4" width="15.7109375" style="86" customWidth="1"/>
    <col min="5" max="5" width="17" style="86" customWidth="1"/>
    <col min="6" max="6" width="19.42578125" style="86" customWidth="1"/>
    <col min="7" max="7" width="13.7109375" style="86" customWidth="1"/>
    <col min="8" max="8" width="16.7109375" style="86" customWidth="1"/>
    <col min="9" max="9" width="12.5703125" style="86" customWidth="1"/>
    <col min="10" max="10" width="29.85546875" style="86" bestFit="1" customWidth="1"/>
    <col min="11" max="16384" width="11.42578125" style="86"/>
  </cols>
  <sheetData>
    <row r="1" spans="2:59" ht="26.25" customHeight="1" x14ac:dyDescent="0.2">
      <c r="B1" s="362"/>
      <c r="C1" s="363"/>
      <c r="D1" s="363"/>
      <c r="E1" s="363"/>
      <c r="F1" s="363"/>
      <c r="G1" s="363"/>
      <c r="H1" s="364"/>
    </row>
    <row r="2" spans="2:59" ht="42.75" customHeight="1" thickBot="1" x14ac:dyDescent="0.25">
      <c r="B2" s="365"/>
      <c r="C2" s="366"/>
      <c r="D2" s="366"/>
      <c r="E2" s="366"/>
      <c r="F2" s="366"/>
      <c r="G2" s="366"/>
      <c r="H2" s="367"/>
    </row>
    <row r="3" spans="2:59" ht="18" customHeight="1" thickBot="1" x14ac:dyDescent="0.25">
      <c r="B3" s="290" t="s">
        <v>61</v>
      </c>
      <c r="C3" s="291"/>
      <c r="D3" s="292"/>
      <c r="E3" s="293"/>
      <c r="F3" s="87" t="s">
        <v>62</v>
      </c>
      <c r="G3" s="294" t="s">
        <v>63</v>
      </c>
      <c r="H3" s="295"/>
    </row>
    <row r="4" spans="2:59" ht="23.25" customHeight="1" thickBot="1" x14ac:dyDescent="0.25">
      <c r="B4" s="296" t="s">
        <v>64</v>
      </c>
      <c r="C4" s="297"/>
      <c r="D4" s="298"/>
      <c r="E4" s="88"/>
      <c r="F4" s="89"/>
      <c r="G4" s="90"/>
      <c r="H4" s="91" t="s">
        <v>65</v>
      </c>
    </row>
    <row r="5" spans="2:59" s="32" customFormat="1" ht="13.5" thickBot="1" x14ac:dyDescent="0.25">
      <c r="B5" s="271" t="s">
        <v>66</v>
      </c>
      <c r="C5" s="272"/>
      <c r="D5" s="92" t="s">
        <v>67</v>
      </c>
      <c r="E5" s="93" t="s">
        <v>68</v>
      </c>
      <c r="F5" s="92" t="s">
        <v>69</v>
      </c>
      <c r="G5" s="93" t="s">
        <v>70</v>
      </c>
      <c r="H5" s="94" t="s">
        <v>66</v>
      </c>
      <c r="I5" s="86"/>
      <c r="J5" s="95"/>
      <c r="K5" s="96"/>
      <c r="L5" s="97"/>
      <c r="M5" s="97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</row>
    <row r="6" spans="2:59" x14ac:dyDescent="0.2">
      <c r="B6" s="98">
        <v>1</v>
      </c>
      <c r="C6" s="99" t="s">
        <v>71</v>
      </c>
      <c r="D6" s="259">
        <v>1</v>
      </c>
      <c r="E6" s="260">
        <v>56109379</v>
      </c>
      <c r="F6" s="100">
        <f>D6*E6</f>
        <v>56109379</v>
      </c>
      <c r="G6" s="101">
        <f>F6/$F$9</f>
        <v>0.99791912618096923</v>
      </c>
      <c r="H6" s="102">
        <v>0</v>
      </c>
      <c r="J6" s="273"/>
      <c r="K6" s="96"/>
      <c r="L6" s="96"/>
      <c r="M6" s="103"/>
    </row>
    <row r="7" spans="2:59" ht="13.5" thickBot="1" x14ac:dyDescent="0.25">
      <c r="B7" s="98">
        <v>2</v>
      </c>
      <c r="C7" s="104" t="s">
        <v>72</v>
      </c>
      <c r="D7" s="261">
        <v>15</v>
      </c>
      <c r="E7" s="262">
        <v>7800</v>
      </c>
      <c r="F7" s="105">
        <f>D7*E7</f>
        <v>117000</v>
      </c>
      <c r="G7" s="106">
        <f>F7/$F$9</f>
        <v>2.0808738190307434E-3</v>
      </c>
      <c r="H7" s="102">
        <v>0</v>
      </c>
      <c r="J7" s="273"/>
      <c r="K7" s="96"/>
      <c r="L7" s="96"/>
      <c r="M7" s="103"/>
    </row>
    <row r="8" spans="2:59" ht="13.5" thickBot="1" x14ac:dyDescent="0.25">
      <c r="B8" s="107"/>
      <c r="C8" s="108" t="s">
        <v>69</v>
      </c>
      <c r="D8" s="109"/>
      <c r="E8" s="110"/>
      <c r="F8" s="111">
        <f>SUM(F6:F7)</f>
        <v>56226379</v>
      </c>
      <c r="G8" s="106">
        <f>F8/$F$9</f>
        <v>1</v>
      </c>
      <c r="H8" s="112">
        <f>SUM(H6:H7)</f>
        <v>0</v>
      </c>
      <c r="J8" s="273"/>
      <c r="K8" s="96"/>
      <c r="L8" s="96"/>
      <c r="M8" s="113"/>
    </row>
    <row r="9" spans="2:59" ht="13.5" customHeight="1" x14ac:dyDescent="0.2">
      <c r="B9" s="274"/>
      <c r="C9" s="275"/>
      <c r="D9" s="275"/>
      <c r="E9" s="276"/>
      <c r="F9" s="280">
        <f>F8</f>
        <v>56226379</v>
      </c>
      <c r="G9" s="114"/>
      <c r="H9" s="280">
        <f>H8</f>
        <v>0</v>
      </c>
      <c r="J9" s="95"/>
      <c r="K9" s="96"/>
      <c r="L9" s="115"/>
      <c r="M9" s="103"/>
    </row>
    <row r="10" spans="2:59" ht="18" customHeight="1" thickBot="1" x14ac:dyDescent="0.25">
      <c r="B10" s="277"/>
      <c r="C10" s="278"/>
      <c r="D10" s="278"/>
      <c r="E10" s="279"/>
      <c r="F10" s="281"/>
      <c r="G10" s="116"/>
      <c r="H10" s="281"/>
      <c r="J10" s="95"/>
      <c r="K10" s="96"/>
      <c r="L10" s="115"/>
      <c r="M10" s="103"/>
    </row>
    <row r="11" spans="2:59" ht="9" customHeight="1" thickBot="1" x14ac:dyDescent="0.3">
      <c r="C11" s="117"/>
      <c r="D11" s="118"/>
      <c r="E11" s="118"/>
      <c r="F11" s="119"/>
      <c r="G11" s="120"/>
      <c r="J11" s="95"/>
      <c r="K11" s="96"/>
      <c r="L11" s="121"/>
      <c r="M11" s="122"/>
    </row>
    <row r="12" spans="2:59" x14ac:dyDescent="0.2">
      <c r="B12" s="282" t="s">
        <v>73</v>
      </c>
      <c r="C12" s="283"/>
      <c r="D12" s="284"/>
      <c r="E12" s="123"/>
      <c r="F12" s="124"/>
      <c r="G12" s="114"/>
      <c r="H12" s="285" t="s">
        <v>73</v>
      </c>
    </row>
    <row r="13" spans="2:59" ht="13.5" thickBot="1" x14ac:dyDescent="0.25">
      <c r="B13" s="287" t="s">
        <v>74</v>
      </c>
      <c r="C13" s="288"/>
      <c r="D13" s="289"/>
      <c r="F13" s="125"/>
      <c r="G13" s="126"/>
      <c r="H13" s="286"/>
    </row>
    <row r="14" spans="2:59" ht="13.5" thickBot="1" x14ac:dyDescent="0.25">
      <c r="B14" s="107"/>
      <c r="C14" s="127"/>
      <c r="D14" s="128" t="s">
        <v>75</v>
      </c>
      <c r="E14" s="129" t="s">
        <v>76</v>
      </c>
      <c r="F14" s="130" t="s">
        <v>77</v>
      </c>
      <c r="G14" s="126"/>
      <c r="H14" s="126"/>
      <c r="J14" s="95"/>
      <c r="K14" s="96"/>
      <c r="L14" s="97"/>
    </row>
    <row r="15" spans="2:59" s="32" customFormat="1" x14ac:dyDescent="0.2">
      <c r="B15" s="131"/>
      <c r="C15" s="132" t="s">
        <v>78</v>
      </c>
      <c r="D15" s="263">
        <v>3696787</v>
      </c>
      <c r="E15" s="133">
        <v>0</v>
      </c>
      <c r="F15" s="134">
        <f>+D15+E15</f>
        <v>3696787</v>
      </c>
      <c r="G15" s="135"/>
      <c r="H15" s="136"/>
      <c r="I15" s="86"/>
      <c r="J15" s="95"/>
      <c r="K15" s="96"/>
      <c r="L15" s="97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</row>
    <row r="16" spans="2:59" s="32" customFormat="1" x14ac:dyDescent="0.2">
      <c r="B16" s="131"/>
      <c r="C16" s="137" t="s">
        <v>79</v>
      </c>
      <c r="D16" s="264">
        <v>33944395</v>
      </c>
      <c r="E16" s="138">
        <v>0</v>
      </c>
      <c r="F16" s="139">
        <f t="shared" ref="F16:F21" si="0">+D16+E16</f>
        <v>33944395</v>
      </c>
      <c r="G16" s="135"/>
      <c r="H16" s="140"/>
      <c r="I16" s="86"/>
      <c r="J16" s="95"/>
      <c r="K16" s="96"/>
      <c r="L16" s="97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</row>
    <row r="17" spans="2:59" s="32" customFormat="1" x14ac:dyDescent="0.2">
      <c r="B17" s="131"/>
      <c r="C17" s="137" t="s">
        <v>80</v>
      </c>
      <c r="D17" s="264">
        <v>124025</v>
      </c>
      <c r="E17" s="138"/>
      <c r="F17" s="139">
        <f t="shared" si="0"/>
        <v>124025</v>
      </c>
      <c r="G17" s="86"/>
      <c r="H17" s="140"/>
      <c r="I17" s="86"/>
      <c r="J17" s="95"/>
      <c r="K17" s="96"/>
      <c r="L17" s="97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</row>
    <row r="18" spans="2:59" s="32" customFormat="1" x14ac:dyDescent="0.2">
      <c r="B18" s="131"/>
      <c r="C18" s="137" t="s">
        <v>81</v>
      </c>
      <c r="D18" s="264">
        <v>0</v>
      </c>
      <c r="E18" s="138"/>
      <c r="F18" s="139">
        <f t="shared" si="0"/>
        <v>0</v>
      </c>
      <c r="G18" s="86"/>
      <c r="H18" s="140"/>
      <c r="I18" s="86"/>
      <c r="J18" s="95"/>
      <c r="K18" s="96"/>
      <c r="L18" s="97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</row>
    <row r="19" spans="2:59" s="32" customFormat="1" x14ac:dyDescent="0.2">
      <c r="B19" s="131"/>
      <c r="C19" s="137" t="s">
        <v>82</v>
      </c>
      <c r="D19" s="264">
        <v>4471</v>
      </c>
      <c r="E19" s="138"/>
      <c r="F19" s="139">
        <f t="shared" si="0"/>
        <v>4471</v>
      </c>
      <c r="G19" s="86"/>
      <c r="H19" s="140"/>
      <c r="I19" s="86"/>
      <c r="J19" s="95"/>
      <c r="K19" s="96"/>
      <c r="L19" s="97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</row>
    <row r="20" spans="2:59" s="32" customFormat="1" x14ac:dyDescent="0.2">
      <c r="B20" s="131"/>
      <c r="C20" s="137" t="s">
        <v>83</v>
      </c>
      <c r="D20" s="264">
        <v>38450</v>
      </c>
      <c r="E20" s="138"/>
      <c r="F20" s="139">
        <f t="shared" si="0"/>
        <v>38450</v>
      </c>
      <c r="G20" s="299" t="s">
        <v>84</v>
      </c>
      <c r="H20" s="140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</row>
    <row r="21" spans="2:59" s="32" customFormat="1" ht="13.5" thickBot="1" x14ac:dyDescent="0.25">
      <c r="B21" s="131"/>
      <c r="C21" s="137" t="s">
        <v>85</v>
      </c>
      <c r="D21" s="265">
        <v>5120943</v>
      </c>
      <c r="E21" s="141">
        <v>0</v>
      </c>
      <c r="F21" s="142">
        <f t="shared" si="0"/>
        <v>5120943</v>
      </c>
      <c r="G21" s="300"/>
      <c r="H21" s="143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</row>
    <row r="22" spans="2:59" ht="22.5" customHeight="1" thickBot="1" x14ac:dyDescent="0.3">
      <c r="B22" s="301" t="s">
        <v>86</v>
      </c>
      <c r="C22" s="302"/>
      <c r="D22" s="144">
        <f>+D15+D16-D17+D18+D19-D20-D21</f>
        <v>32362235</v>
      </c>
      <c r="E22" s="144">
        <f>+E15+E16-E17+E18+E19-E20-E21</f>
        <v>0</v>
      </c>
      <c r="F22" s="145">
        <f>+F15+F16-F17+F18+F19-F20-F21</f>
        <v>32362235</v>
      </c>
      <c r="G22" s="146">
        <f>+($F$21*30)/$F$22</f>
        <v>4.7471470990801468</v>
      </c>
      <c r="H22" s="147"/>
    </row>
    <row r="23" spans="2:59" ht="15.75" thickBot="1" x14ac:dyDescent="0.3">
      <c r="B23" s="303"/>
      <c r="C23" s="304"/>
      <c r="D23" s="266">
        <f>+D22/F9</f>
        <v>0.5755703208275248</v>
      </c>
      <c r="E23" s="148">
        <f>E22/F9</f>
        <v>0</v>
      </c>
      <c r="F23" s="149">
        <f>+F22/F9</f>
        <v>0.5755703208275248</v>
      </c>
      <c r="G23" s="150"/>
      <c r="H23" s="151" t="e">
        <f>+H22/H9</f>
        <v>#DIV/0!</v>
      </c>
    </row>
    <row r="24" spans="2:59" ht="10.5" customHeight="1" thickBot="1" x14ac:dyDescent="0.3">
      <c r="C24" s="152"/>
      <c r="D24" s="153"/>
      <c r="E24" s="153"/>
      <c r="F24" s="154"/>
      <c r="G24" s="153"/>
      <c r="J24" s="305" t="s">
        <v>87</v>
      </c>
      <c r="K24" s="306"/>
      <c r="L24" s="307"/>
    </row>
    <row r="25" spans="2:59" ht="13.5" thickBot="1" x14ac:dyDescent="0.25">
      <c r="B25" s="155"/>
      <c r="C25" s="282" t="s">
        <v>88</v>
      </c>
      <c r="D25" s="284"/>
      <c r="E25" s="156"/>
      <c r="F25" s="156"/>
      <c r="G25" s="114"/>
      <c r="H25" s="157" t="s">
        <v>88</v>
      </c>
      <c r="J25" s="308"/>
      <c r="K25" s="309"/>
      <c r="L25" s="310"/>
    </row>
    <row r="26" spans="2:59" s="32" customFormat="1" x14ac:dyDescent="0.2">
      <c r="B26" s="131"/>
      <c r="C26" s="158" t="s">
        <v>89</v>
      </c>
      <c r="D26" s="159" t="s">
        <v>90</v>
      </c>
      <c r="E26" s="160"/>
      <c r="F26" s="161">
        <f>+L26+L27</f>
        <v>0</v>
      </c>
      <c r="G26" s="86"/>
      <c r="H26" s="162"/>
      <c r="I26" s="86"/>
      <c r="J26" s="163" t="s">
        <v>91</v>
      </c>
      <c r="K26" s="164" t="s">
        <v>92</v>
      </c>
      <c r="L26" s="165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</row>
    <row r="27" spans="2:59" s="32" customFormat="1" x14ac:dyDescent="0.2">
      <c r="B27" s="131"/>
      <c r="C27" s="166" t="s">
        <v>93</v>
      </c>
      <c r="D27" s="167" t="s">
        <v>94</v>
      </c>
      <c r="E27" s="168"/>
      <c r="F27" s="169">
        <f>+L46</f>
        <v>0</v>
      </c>
      <c r="G27" s="86"/>
      <c r="H27" s="140"/>
      <c r="I27" s="86"/>
      <c r="J27" s="170" t="s">
        <v>95</v>
      </c>
      <c r="K27" s="171" t="s">
        <v>96</v>
      </c>
      <c r="L27" s="172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</row>
    <row r="28" spans="2:59" s="32" customFormat="1" x14ac:dyDescent="0.2">
      <c r="B28" s="131"/>
      <c r="C28" s="166" t="s">
        <v>97</v>
      </c>
      <c r="D28" s="167" t="s">
        <v>98</v>
      </c>
      <c r="E28" s="168"/>
      <c r="F28" s="169">
        <f>+L33+L34+L35+L36</f>
        <v>0</v>
      </c>
      <c r="G28" s="86"/>
      <c r="H28" s="140"/>
      <c r="I28" s="86"/>
      <c r="J28" s="170" t="s">
        <v>99</v>
      </c>
      <c r="K28" s="171" t="s">
        <v>100</v>
      </c>
      <c r="L28" s="172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</row>
    <row r="29" spans="2:59" s="32" customFormat="1" x14ac:dyDescent="0.2">
      <c r="B29" s="131"/>
      <c r="C29" s="166" t="s">
        <v>99</v>
      </c>
      <c r="D29" s="167" t="s">
        <v>100</v>
      </c>
      <c r="E29" s="168"/>
      <c r="F29" s="169">
        <f>+L28</f>
        <v>0</v>
      </c>
      <c r="G29" s="86"/>
      <c r="H29" s="140"/>
      <c r="I29" s="86"/>
      <c r="J29" s="170" t="s">
        <v>101</v>
      </c>
      <c r="K29" s="171" t="s">
        <v>102</v>
      </c>
      <c r="L29" s="172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</row>
    <row r="30" spans="2:59" s="32" customFormat="1" x14ac:dyDescent="0.2">
      <c r="B30" s="131"/>
      <c r="C30" s="166" t="s">
        <v>103</v>
      </c>
      <c r="D30" s="167" t="s">
        <v>104</v>
      </c>
      <c r="E30" s="168"/>
      <c r="F30" s="169">
        <f>+L29+L30+L31+L32</f>
        <v>0</v>
      </c>
      <c r="G30" s="86"/>
      <c r="H30" s="140"/>
      <c r="I30" s="86"/>
      <c r="J30" s="170" t="s">
        <v>105</v>
      </c>
      <c r="K30" s="171" t="s">
        <v>106</v>
      </c>
      <c r="L30" s="172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</row>
    <row r="31" spans="2:59" s="32" customFormat="1" ht="13.5" thickBot="1" x14ac:dyDescent="0.25">
      <c r="B31" s="131"/>
      <c r="C31" s="166" t="s">
        <v>107</v>
      </c>
      <c r="D31" s="167" t="s">
        <v>108</v>
      </c>
      <c r="E31" s="168"/>
      <c r="F31" s="173">
        <f>+L38+L40+L42+L43+L44</f>
        <v>0</v>
      </c>
      <c r="G31" s="118"/>
      <c r="H31" s="140"/>
      <c r="I31" s="86"/>
      <c r="J31" s="170" t="s">
        <v>109</v>
      </c>
      <c r="K31" s="171" t="s">
        <v>110</v>
      </c>
      <c r="L31" s="172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</row>
    <row r="32" spans="2:59" s="32" customFormat="1" ht="13.5" thickBot="1" x14ac:dyDescent="0.25">
      <c r="B32" s="131"/>
      <c r="C32" s="174" t="s">
        <v>111</v>
      </c>
      <c r="D32" s="167"/>
      <c r="E32" s="168"/>
      <c r="F32" s="175">
        <f>SUM(F26:F31)</f>
        <v>0</v>
      </c>
      <c r="G32" s="86"/>
      <c r="H32" s="140"/>
      <c r="I32" s="86"/>
      <c r="J32" s="170" t="s">
        <v>112</v>
      </c>
      <c r="K32" s="171" t="s">
        <v>113</v>
      </c>
      <c r="L32" s="172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</row>
    <row r="33" spans="2:59" s="32" customFormat="1" ht="13.5" thickBot="1" x14ac:dyDescent="0.25">
      <c r="B33" s="131"/>
      <c r="C33" s="166" t="s">
        <v>114</v>
      </c>
      <c r="D33" s="167" t="s">
        <v>115</v>
      </c>
      <c r="E33" s="168"/>
      <c r="F33" s="176">
        <f>+L37</f>
        <v>0</v>
      </c>
      <c r="G33" s="86"/>
      <c r="H33" s="140"/>
      <c r="I33" s="86"/>
      <c r="J33" s="170" t="s">
        <v>116</v>
      </c>
      <c r="K33" s="171" t="s">
        <v>117</v>
      </c>
      <c r="L33" s="172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</row>
    <row r="34" spans="2:59" s="32" customFormat="1" ht="13.5" thickBot="1" x14ac:dyDescent="0.25">
      <c r="B34" s="131"/>
      <c r="C34" s="177" t="s">
        <v>111</v>
      </c>
      <c r="D34" s="178"/>
      <c r="E34" s="179"/>
      <c r="F34" s="175">
        <f>+F32+F33</f>
        <v>0</v>
      </c>
      <c r="G34" s="86"/>
      <c r="H34" s="140"/>
      <c r="I34" s="86"/>
      <c r="J34" s="170" t="s">
        <v>118</v>
      </c>
      <c r="K34" s="171" t="s">
        <v>119</v>
      </c>
      <c r="L34" s="172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</row>
    <row r="35" spans="2:59" s="32" customFormat="1" x14ac:dyDescent="0.2">
      <c r="B35" s="131"/>
      <c r="C35" s="311" t="s">
        <v>120</v>
      </c>
      <c r="D35" s="314" t="s">
        <v>121</v>
      </c>
      <c r="E35" s="315"/>
      <c r="F35" s="161">
        <f>(F34+F48)*8.33%</f>
        <v>0</v>
      </c>
      <c r="G35" s="86"/>
      <c r="H35" s="140"/>
      <c r="I35" s="86"/>
      <c r="J35" s="170" t="s">
        <v>122</v>
      </c>
      <c r="K35" s="171" t="s">
        <v>123</v>
      </c>
      <c r="L35" s="172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</row>
    <row r="36" spans="2:59" s="32" customFormat="1" x14ac:dyDescent="0.2">
      <c r="B36" s="131"/>
      <c r="C36" s="312"/>
      <c r="D36" s="316" t="s">
        <v>124</v>
      </c>
      <c r="E36" s="317"/>
      <c r="F36" s="169">
        <f>($F$34+$F$48)*8.33%</f>
        <v>0</v>
      </c>
      <c r="G36" s="86"/>
      <c r="H36" s="181"/>
      <c r="I36" s="86"/>
      <c r="J36" s="170" t="s">
        <v>125</v>
      </c>
      <c r="K36" s="171" t="s">
        <v>126</v>
      </c>
      <c r="L36" s="172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</row>
    <row r="37" spans="2:59" s="32" customFormat="1" x14ac:dyDescent="0.2">
      <c r="B37" s="131"/>
      <c r="C37" s="312"/>
      <c r="D37" s="316" t="s">
        <v>127</v>
      </c>
      <c r="E37" s="317"/>
      <c r="F37" s="169">
        <f>($F$34+$F$48)*4.17%</f>
        <v>0</v>
      </c>
      <c r="G37" s="118"/>
      <c r="H37" s="181"/>
      <c r="I37" s="118"/>
      <c r="J37" s="170" t="s">
        <v>114</v>
      </c>
      <c r="K37" s="171" t="s">
        <v>115</v>
      </c>
      <c r="L37" s="172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</row>
    <row r="38" spans="2:59" s="32" customFormat="1" ht="13.5" thickBot="1" x14ac:dyDescent="0.25">
      <c r="B38" s="131"/>
      <c r="C38" s="313"/>
      <c r="D38" s="318" t="s">
        <v>128</v>
      </c>
      <c r="E38" s="319"/>
      <c r="F38" s="182">
        <f>($F$34+$F$48)*1%</f>
        <v>0</v>
      </c>
      <c r="G38" s="118"/>
      <c r="H38" s="181"/>
      <c r="I38" s="118"/>
      <c r="J38" s="170" t="s">
        <v>129</v>
      </c>
      <c r="K38" s="171" t="s">
        <v>130</v>
      </c>
      <c r="L38" s="172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</row>
    <row r="39" spans="2:59" s="32" customFormat="1" x14ac:dyDescent="0.2">
      <c r="B39" s="131"/>
      <c r="C39" s="329" t="s">
        <v>131</v>
      </c>
      <c r="D39" s="314" t="s">
        <v>132</v>
      </c>
      <c r="E39" s="315"/>
      <c r="F39" s="161">
        <f>($F$32+$F$48)*8.5%</f>
        <v>0</v>
      </c>
      <c r="G39" s="118"/>
      <c r="H39" s="181"/>
      <c r="I39" s="118"/>
      <c r="J39" s="170" t="s">
        <v>133</v>
      </c>
      <c r="K39" s="171" t="s">
        <v>134</v>
      </c>
      <c r="L39" s="172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</row>
    <row r="40" spans="2:59" s="32" customFormat="1" x14ac:dyDescent="0.2">
      <c r="B40" s="131"/>
      <c r="C40" s="330"/>
      <c r="D40" s="316" t="s">
        <v>135</v>
      </c>
      <c r="E40" s="317"/>
      <c r="F40" s="169">
        <f>($F$32+$F$48)*12%</f>
        <v>0</v>
      </c>
      <c r="G40" s="118"/>
      <c r="H40" s="181"/>
      <c r="I40" s="118"/>
      <c r="J40" s="170" t="s">
        <v>136</v>
      </c>
      <c r="K40" s="171" t="s">
        <v>137</v>
      </c>
      <c r="L40" s="172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</row>
    <row r="41" spans="2:59" s="32" customFormat="1" ht="13.5" thickBot="1" x14ac:dyDescent="0.25">
      <c r="B41" s="131"/>
      <c r="C41" s="331"/>
      <c r="D41" s="318" t="s">
        <v>138</v>
      </c>
      <c r="E41" s="319"/>
      <c r="F41" s="182">
        <f>($F$32+$F$48)*1.044%</f>
        <v>0</v>
      </c>
      <c r="G41" s="118"/>
      <c r="H41" s="181"/>
      <c r="I41" s="118"/>
      <c r="J41" s="170" t="s">
        <v>139</v>
      </c>
      <c r="K41" s="171" t="s">
        <v>140</v>
      </c>
      <c r="L41" s="172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</row>
    <row r="42" spans="2:59" s="32" customFormat="1" x14ac:dyDescent="0.2">
      <c r="B42" s="131"/>
      <c r="C42" s="329" t="s">
        <v>141</v>
      </c>
      <c r="D42" s="314" t="s">
        <v>142</v>
      </c>
      <c r="E42" s="315"/>
      <c r="F42" s="161">
        <f>($F$32+$F$48)*4%</f>
        <v>0</v>
      </c>
      <c r="G42" s="118"/>
      <c r="H42" s="181"/>
      <c r="I42" s="118"/>
      <c r="J42" s="170" t="s">
        <v>143</v>
      </c>
      <c r="K42" s="171" t="s">
        <v>144</v>
      </c>
      <c r="L42" s="172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</row>
    <row r="43" spans="2:59" s="32" customFormat="1" x14ac:dyDescent="0.2">
      <c r="B43" s="131"/>
      <c r="C43" s="330"/>
      <c r="D43" s="316" t="s">
        <v>145</v>
      </c>
      <c r="E43" s="317"/>
      <c r="F43" s="169">
        <f>($F$32+$F$48)*3%</f>
        <v>0</v>
      </c>
      <c r="G43" s="118"/>
      <c r="H43" s="181"/>
      <c r="I43" s="118"/>
      <c r="J43" s="170" t="s">
        <v>146</v>
      </c>
      <c r="K43" s="171" t="s">
        <v>147</v>
      </c>
      <c r="L43" s="172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</row>
    <row r="44" spans="2:59" s="32" customFormat="1" ht="13.5" thickBot="1" x14ac:dyDescent="0.25">
      <c r="B44" s="131"/>
      <c r="C44" s="331"/>
      <c r="D44" s="318" t="s">
        <v>148</v>
      </c>
      <c r="E44" s="319"/>
      <c r="F44" s="182">
        <f>($F$32+$F$48)*2%</f>
        <v>0</v>
      </c>
      <c r="G44" s="118"/>
      <c r="H44" s="181"/>
      <c r="I44" s="118"/>
      <c r="J44" s="170" t="s">
        <v>149</v>
      </c>
      <c r="K44" s="171" t="s">
        <v>150</v>
      </c>
      <c r="L44" s="172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</row>
    <row r="45" spans="2:59" s="32" customFormat="1" x14ac:dyDescent="0.2">
      <c r="B45" s="131"/>
      <c r="C45" s="170" t="s">
        <v>151</v>
      </c>
      <c r="D45" s="183"/>
      <c r="E45" s="184"/>
      <c r="F45" s="161">
        <v>10975373</v>
      </c>
      <c r="G45" s="118"/>
      <c r="H45" s="181"/>
      <c r="I45" s="118"/>
      <c r="J45" s="170" t="s">
        <v>152</v>
      </c>
      <c r="K45" s="171" t="s">
        <v>153</v>
      </c>
      <c r="L45" s="172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</row>
    <row r="46" spans="2:59" s="32" customFormat="1" ht="13.5" thickBot="1" x14ac:dyDescent="0.25">
      <c r="B46" s="131"/>
      <c r="C46" s="170" t="s">
        <v>154</v>
      </c>
      <c r="D46" s="171" t="s">
        <v>134</v>
      </c>
      <c r="E46" s="167"/>
      <c r="F46" s="173">
        <f>+L39</f>
        <v>0</v>
      </c>
      <c r="G46" s="118"/>
      <c r="H46" s="181"/>
      <c r="I46" s="118"/>
      <c r="J46" s="170" t="s">
        <v>93</v>
      </c>
      <c r="K46" s="171" t="s">
        <v>94</v>
      </c>
      <c r="L46" s="172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</row>
    <row r="47" spans="2:59" s="32" customFormat="1" ht="13.5" thickBot="1" x14ac:dyDescent="0.25">
      <c r="B47" s="131"/>
      <c r="C47" s="185" t="s">
        <v>155</v>
      </c>
      <c r="D47" s="171"/>
      <c r="E47" s="167"/>
      <c r="F47" s="186">
        <f>SUM(F34:F46)</f>
        <v>10975373</v>
      </c>
      <c r="G47" s="118"/>
      <c r="H47" s="181"/>
      <c r="I47" s="118"/>
      <c r="J47" s="170" t="s">
        <v>156</v>
      </c>
      <c r="K47" s="171" t="s">
        <v>157</v>
      </c>
      <c r="L47" s="172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</row>
    <row r="48" spans="2:59" s="32" customFormat="1" ht="13.5" thickBot="1" x14ac:dyDescent="0.25">
      <c r="B48" s="131"/>
      <c r="C48" s="170" t="s">
        <v>158</v>
      </c>
      <c r="D48" s="171" t="s">
        <v>159</v>
      </c>
      <c r="E48" s="167"/>
      <c r="F48" s="187">
        <f>(+L47+L48)*52/100</f>
        <v>0</v>
      </c>
      <c r="G48" s="118"/>
      <c r="H48" s="181"/>
      <c r="I48" s="118"/>
      <c r="J48" s="188" t="s">
        <v>160</v>
      </c>
      <c r="K48" s="189" t="s">
        <v>161</v>
      </c>
      <c r="L48" s="190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</row>
    <row r="49" spans="2:59" s="32" customFormat="1" x14ac:dyDescent="0.2">
      <c r="B49" s="131"/>
      <c r="C49" s="170" t="s">
        <v>162</v>
      </c>
      <c r="D49" s="171"/>
      <c r="E49" s="167"/>
      <c r="F49" s="169">
        <v>0</v>
      </c>
      <c r="G49" s="118"/>
      <c r="H49" s="181"/>
      <c r="I49" s="118"/>
      <c r="J49" s="191"/>
      <c r="K49" s="192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</row>
    <row r="50" spans="2:59" s="32" customFormat="1" ht="15.75" thickBot="1" x14ac:dyDescent="0.3">
      <c r="B50" s="131"/>
      <c r="C50" s="170" t="s">
        <v>163</v>
      </c>
      <c r="D50" s="171"/>
      <c r="E50" s="167"/>
      <c r="F50" s="169">
        <v>0</v>
      </c>
      <c r="G50" s="118"/>
      <c r="H50" s="193"/>
      <c r="I50" s="118"/>
      <c r="J50" s="194"/>
      <c r="K50" s="192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</row>
    <row r="51" spans="2:59" s="32" customFormat="1" ht="13.5" thickBot="1" x14ac:dyDescent="0.25">
      <c r="B51" s="131"/>
      <c r="C51" s="195"/>
      <c r="D51" s="196"/>
      <c r="E51" s="197"/>
      <c r="F51" s="182">
        <v>0</v>
      </c>
      <c r="G51" s="198"/>
      <c r="H51" s="126"/>
      <c r="I51" s="86"/>
      <c r="J51" s="191"/>
      <c r="K51" s="192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</row>
    <row r="52" spans="2:59" ht="15" thickBot="1" x14ac:dyDescent="0.25">
      <c r="B52" s="199"/>
      <c r="C52" s="320" t="s">
        <v>164</v>
      </c>
      <c r="D52" s="321"/>
      <c r="E52" s="322"/>
      <c r="F52" s="200">
        <f>+F47+F48+F49+F50+F51</f>
        <v>10975373</v>
      </c>
      <c r="G52" s="201">
        <f>+F52/F9</f>
        <v>0.1951997122204864</v>
      </c>
      <c r="H52" s="202"/>
      <c r="J52" s="203"/>
      <c r="K52" s="192"/>
    </row>
    <row r="53" spans="2:59" s="32" customFormat="1" ht="15.75" thickBot="1" x14ac:dyDescent="0.3">
      <c r="B53" s="131"/>
      <c r="C53" s="204"/>
      <c r="D53" s="205"/>
      <c r="E53" s="205"/>
      <c r="F53" s="206"/>
      <c r="G53" s="207"/>
      <c r="H53" s="208" t="e">
        <f>+H52/H9</f>
        <v>#DIV/0!</v>
      </c>
      <c r="J53" s="86"/>
      <c r="K53" s="86"/>
    </row>
    <row r="54" spans="2:59" ht="13.5" thickBot="1" x14ac:dyDescent="0.25">
      <c r="B54" s="107"/>
      <c r="C54" s="323" t="s">
        <v>165</v>
      </c>
      <c r="D54" s="324"/>
      <c r="E54" s="156"/>
      <c r="F54" s="257"/>
      <c r="G54" s="209"/>
      <c r="H54" s="210" t="s">
        <v>165</v>
      </c>
    </row>
    <row r="55" spans="2:59" s="32" customFormat="1" x14ac:dyDescent="0.2">
      <c r="B55" s="131"/>
      <c r="C55" s="325" t="s">
        <v>166</v>
      </c>
      <c r="D55" s="326"/>
      <c r="E55" s="327"/>
      <c r="F55" s="258">
        <f>SUM(F9*1)/100</f>
        <v>562263.79</v>
      </c>
      <c r="G55" s="86"/>
      <c r="H55" s="211"/>
      <c r="I55" s="212"/>
      <c r="J55" s="212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</row>
    <row r="56" spans="2:59" s="32" customFormat="1" x14ac:dyDescent="0.2">
      <c r="B56" s="131"/>
      <c r="C56" s="328" t="s">
        <v>167</v>
      </c>
      <c r="D56" s="327"/>
      <c r="E56" s="327"/>
      <c r="F56" s="258">
        <v>0</v>
      </c>
      <c r="G56" s="86"/>
      <c r="H56" s="213"/>
      <c r="I56" s="212"/>
      <c r="J56" s="212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</row>
    <row r="57" spans="2:59" s="32" customFormat="1" x14ac:dyDescent="0.2">
      <c r="B57" s="131"/>
      <c r="C57" s="328" t="s">
        <v>168</v>
      </c>
      <c r="D57" s="327"/>
      <c r="E57" s="327"/>
      <c r="F57" s="258"/>
      <c r="G57" s="86"/>
      <c r="H57" s="213"/>
      <c r="I57" s="212"/>
      <c r="J57" s="212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</row>
    <row r="58" spans="2:59" s="32" customFormat="1" x14ac:dyDescent="0.2">
      <c r="B58" s="131"/>
      <c r="C58" s="328" t="s">
        <v>169</v>
      </c>
      <c r="D58" s="327"/>
      <c r="E58" s="327"/>
      <c r="F58" s="258">
        <v>0</v>
      </c>
      <c r="G58" s="86"/>
      <c r="H58" s="213"/>
      <c r="I58" s="212"/>
      <c r="J58" s="212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</row>
    <row r="59" spans="2:59" s="32" customFormat="1" x14ac:dyDescent="0.2">
      <c r="B59" s="131"/>
      <c r="C59" s="328" t="s">
        <v>170</v>
      </c>
      <c r="D59" s="327"/>
      <c r="E59" s="327"/>
      <c r="F59" s="258">
        <v>221000</v>
      </c>
      <c r="G59" s="86"/>
      <c r="H59" s="213"/>
      <c r="I59" s="212"/>
      <c r="J59" s="212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</row>
    <row r="60" spans="2:59" s="32" customFormat="1" x14ac:dyDescent="0.2">
      <c r="B60" s="131"/>
      <c r="C60" s="328" t="s">
        <v>171</v>
      </c>
      <c r="D60" s="327"/>
      <c r="E60" s="327"/>
      <c r="F60" s="258">
        <v>0</v>
      </c>
      <c r="G60" s="214"/>
      <c r="H60" s="213"/>
      <c r="I60" s="212"/>
      <c r="J60" s="212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</row>
    <row r="61" spans="2:59" s="32" customFormat="1" x14ac:dyDescent="0.2">
      <c r="B61" s="131"/>
      <c r="C61" s="328" t="s">
        <v>172</v>
      </c>
      <c r="D61" s="327"/>
      <c r="E61" s="327"/>
      <c r="F61" s="258">
        <v>2306291</v>
      </c>
      <c r="G61" s="215"/>
      <c r="H61" s="213"/>
      <c r="I61" s="212"/>
      <c r="J61" s="212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</row>
    <row r="62" spans="2:59" s="32" customFormat="1" x14ac:dyDescent="0.2">
      <c r="B62" s="131"/>
      <c r="C62" s="328" t="s">
        <v>173</v>
      </c>
      <c r="D62" s="327"/>
      <c r="E62" s="327"/>
      <c r="F62" s="258">
        <v>0</v>
      </c>
      <c r="G62" s="215"/>
      <c r="H62" s="213"/>
      <c r="I62" s="212"/>
      <c r="J62" s="212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</row>
    <row r="63" spans="2:59" s="32" customFormat="1" x14ac:dyDescent="0.2">
      <c r="B63" s="131"/>
      <c r="C63" s="328" t="s">
        <v>174</v>
      </c>
      <c r="D63" s="327"/>
      <c r="E63" s="327"/>
      <c r="F63" s="258">
        <v>0</v>
      </c>
      <c r="G63" s="86"/>
      <c r="H63" s="213"/>
      <c r="I63" s="212"/>
      <c r="J63" s="212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</row>
    <row r="64" spans="2:59" s="32" customFormat="1" x14ac:dyDescent="0.2">
      <c r="B64" s="131"/>
      <c r="C64" s="328" t="s">
        <v>175</v>
      </c>
      <c r="D64" s="327"/>
      <c r="E64" s="327"/>
      <c r="F64" s="258">
        <v>0</v>
      </c>
      <c r="G64" s="215"/>
      <c r="H64" s="213"/>
      <c r="I64" s="212"/>
      <c r="J64" s="212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</row>
    <row r="65" spans="2:59" s="32" customFormat="1" x14ac:dyDescent="0.2">
      <c r="B65" s="131"/>
      <c r="C65" s="328" t="s">
        <v>176</v>
      </c>
      <c r="D65" s="327"/>
      <c r="E65" s="327"/>
      <c r="F65" s="258">
        <v>0</v>
      </c>
      <c r="G65" s="86"/>
      <c r="H65" s="213"/>
      <c r="I65" s="212"/>
      <c r="J65" s="212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</row>
    <row r="66" spans="2:59" s="32" customFormat="1" x14ac:dyDescent="0.2">
      <c r="B66" s="131"/>
      <c r="C66" s="328" t="s">
        <v>177</v>
      </c>
      <c r="D66" s="327"/>
      <c r="E66" s="327"/>
      <c r="F66" s="258">
        <v>0</v>
      </c>
      <c r="G66" s="86"/>
      <c r="H66" s="213"/>
      <c r="I66" s="212"/>
      <c r="J66" s="212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</row>
    <row r="67" spans="2:59" s="32" customFormat="1" x14ac:dyDescent="0.2">
      <c r="B67" s="131"/>
      <c r="C67" s="328" t="s">
        <v>178</v>
      </c>
      <c r="D67" s="327"/>
      <c r="E67" s="327"/>
      <c r="F67" s="258">
        <v>783281</v>
      </c>
      <c r="G67" s="86"/>
      <c r="H67" s="213"/>
      <c r="I67" s="212"/>
      <c r="J67" s="212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</row>
    <row r="68" spans="2:59" s="32" customFormat="1" x14ac:dyDescent="0.2">
      <c r="B68" s="131"/>
      <c r="C68" s="328" t="s">
        <v>179</v>
      </c>
      <c r="D68" s="327"/>
      <c r="E68" s="327"/>
      <c r="F68" s="258">
        <v>277200</v>
      </c>
      <c r="G68" s="86"/>
      <c r="H68" s="140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</row>
    <row r="69" spans="2:59" s="32" customFormat="1" x14ac:dyDescent="0.2">
      <c r="B69" s="131"/>
      <c r="C69" s="328" t="s">
        <v>180</v>
      </c>
      <c r="D69" s="327"/>
      <c r="E69" s="327"/>
      <c r="F69" s="258">
        <v>0</v>
      </c>
      <c r="G69" s="86"/>
      <c r="H69" s="140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</row>
    <row r="70" spans="2:59" s="32" customFormat="1" x14ac:dyDescent="0.2">
      <c r="B70" s="131"/>
      <c r="C70" s="328" t="s">
        <v>181</v>
      </c>
      <c r="D70" s="327"/>
      <c r="E70" s="327"/>
      <c r="F70" s="258">
        <v>0</v>
      </c>
      <c r="G70" s="86"/>
      <c r="H70" s="140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</row>
    <row r="71" spans="2:59" s="32" customFormat="1" x14ac:dyDescent="0.2">
      <c r="B71" s="131"/>
      <c r="C71" s="316" t="s">
        <v>182</v>
      </c>
      <c r="D71" s="332"/>
      <c r="E71" s="332"/>
      <c r="F71" s="258">
        <v>0</v>
      </c>
      <c r="G71" s="86"/>
      <c r="H71" s="140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</row>
    <row r="72" spans="2:59" s="32" customFormat="1" x14ac:dyDescent="0.2">
      <c r="B72" s="131"/>
      <c r="C72" s="316" t="s">
        <v>183</v>
      </c>
      <c r="D72" s="332"/>
      <c r="E72" s="332"/>
      <c r="F72" s="258">
        <v>0</v>
      </c>
      <c r="G72" s="152"/>
      <c r="H72" s="217"/>
      <c r="I72" s="218"/>
      <c r="J72" s="219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</row>
    <row r="73" spans="2:59" s="32" customFormat="1" x14ac:dyDescent="0.2">
      <c r="B73" s="131"/>
      <c r="C73" s="316" t="s">
        <v>184</v>
      </c>
      <c r="D73" s="332"/>
      <c r="E73" s="332"/>
      <c r="F73" s="258">
        <v>0</v>
      </c>
      <c r="G73" s="152"/>
      <c r="H73" s="217"/>
      <c r="I73" s="218"/>
      <c r="J73" s="219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</row>
    <row r="74" spans="2:59" s="32" customFormat="1" x14ac:dyDescent="0.2">
      <c r="B74" s="131"/>
      <c r="C74" s="316" t="s">
        <v>185</v>
      </c>
      <c r="D74" s="332"/>
      <c r="E74" s="332"/>
      <c r="F74" s="258">
        <v>0</v>
      </c>
      <c r="G74" s="152"/>
      <c r="H74" s="217"/>
      <c r="I74" s="218"/>
      <c r="J74" s="219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</row>
    <row r="75" spans="2:59" s="32" customFormat="1" x14ac:dyDescent="0.2">
      <c r="B75" s="131"/>
      <c r="C75" s="316" t="s">
        <v>186</v>
      </c>
      <c r="D75" s="332"/>
      <c r="E75" s="332"/>
      <c r="F75" s="258">
        <v>86904</v>
      </c>
      <c r="G75" s="152"/>
      <c r="H75" s="217"/>
      <c r="I75" s="218"/>
      <c r="J75" s="219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</row>
    <row r="76" spans="2:59" s="32" customFormat="1" x14ac:dyDescent="0.2">
      <c r="B76" s="131"/>
      <c r="C76" s="316" t="s">
        <v>187</v>
      </c>
      <c r="D76" s="332"/>
      <c r="E76" s="332"/>
      <c r="F76" s="258">
        <v>0</v>
      </c>
      <c r="G76" s="86"/>
      <c r="H76" s="140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</row>
    <row r="77" spans="2:59" s="32" customFormat="1" x14ac:dyDescent="0.2">
      <c r="B77" s="131"/>
      <c r="C77" s="316" t="s">
        <v>188</v>
      </c>
      <c r="D77" s="332"/>
      <c r="E77" s="332"/>
      <c r="F77" s="258">
        <v>0</v>
      </c>
      <c r="G77" s="86"/>
      <c r="H77" s="140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</row>
    <row r="78" spans="2:59" s="32" customFormat="1" x14ac:dyDescent="0.2">
      <c r="B78" s="131"/>
      <c r="C78" s="316" t="s">
        <v>189</v>
      </c>
      <c r="D78" s="332"/>
      <c r="E78" s="332"/>
      <c r="F78" s="258">
        <v>108255</v>
      </c>
      <c r="G78" s="215"/>
      <c r="H78" s="140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</row>
    <row r="79" spans="2:59" s="32" customFormat="1" x14ac:dyDescent="0.2">
      <c r="B79" s="131"/>
      <c r="C79" s="316" t="s">
        <v>190</v>
      </c>
      <c r="D79" s="332"/>
      <c r="E79" s="332" t="s">
        <v>191</v>
      </c>
      <c r="F79" s="258">
        <v>0</v>
      </c>
      <c r="G79" s="86"/>
      <c r="H79" s="140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</row>
    <row r="80" spans="2:59" s="32" customFormat="1" x14ac:dyDescent="0.2">
      <c r="B80" s="131"/>
      <c r="C80" s="316" t="s">
        <v>192</v>
      </c>
      <c r="D80" s="332"/>
      <c r="E80" s="332"/>
      <c r="F80" s="258">
        <v>0</v>
      </c>
      <c r="G80" s="86"/>
      <c r="H80" s="140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</row>
    <row r="81" spans="2:59" s="32" customFormat="1" x14ac:dyDescent="0.2">
      <c r="B81" s="131"/>
      <c r="C81" s="316" t="s">
        <v>193</v>
      </c>
      <c r="D81" s="332"/>
      <c r="E81" s="332"/>
      <c r="F81" s="258">
        <v>0</v>
      </c>
      <c r="G81" s="86"/>
      <c r="H81" s="140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</row>
    <row r="82" spans="2:59" s="32" customFormat="1" x14ac:dyDescent="0.2">
      <c r="B82" s="131"/>
      <c r="C82" s="316" t="s">
        <v>194</v>
      </c>
      <c r="D82" s="332"/>
      <c r="E82" s="333"/>
      <c r="F82" s="258">
        <v>0</v>
      </c>
      <c r="G82" s="86"/>
      <c r="H82" s="140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</row>
    <row r="83" spans="2:59" s="32" customFormat="1" x14ac:dyDescent="0.2">
      <c r="B83" s="131"/>
      <c r="C83" s="316" t="s">
        <v>195</v>
      </c>
      <c r="D83" s="332"/>
      <c r="E83" s="332"/>
      <c r="F83" s="258">
        <v>0</v>
      </c>
      <c r="G83" s="86"/>
      <c r="H83" s="140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</row>
    <row r="84" spans="2:59" s="32" customFormat="1" x14ac:dyDescent="0.2">
      <c r="B84" s="131"/>
      <c r="C84" s="316" t="s">
        <v>196</v>
      </c>
      <c r="D84" s="332"/>
      <c r="E84" s="332"/>
      <c r="F84" s="258">
        <v>0</v>
      </c>
      <c r="G84" s="86"/>
      <c r="H84" s="140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</row>
    <row r="85" spans="2:59" s="32" customFormat="1" x14ac:dyDescent="0.2">
      <c r="B85" s="131"/>
      <c r="C85" s="316" t="s">
        <v>197</v>
      </c>
      <c r="D85" s="332"/>
      <c r="E85" s="332"/>
      <c r="F85" s="258">
        <v>0</v>
      </c>
      <c r="G85" s="86"/>
      <c r="H85" s="140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</row>
    <row r="86" spans="2:59" s="32" customFormat="1" x14ac:dyDescent="0.2">
      <c r="B86" s="131"/>
      <c r="C86" s="316" t="s">
        <v>198</v>
      </c>
      <c r="D86" s="332"/>
      <c r="E86" s="332"/>
      <c r="F86" s="258">
        <v>0</v>
      </c>
      <c r="G86" s="86"/>
      <c r="H86" s="140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</row>
    <row r="87" spans="2:59" s="32" customFormat="1" x14ac:dyDescent="0.2">
      <c r="B87" s="131"/>
      <c r="C87" s="316" t="s">
        <v>199</v>
      </c>
      <c r="D87" s="332"/>
      <c r="E87" s="332"/>
      <c r="F87" s="258">
        <f>28379+13000+30000</f>
        <v>71379</v>
      </c>
      <c r="G87" s="86"/>
      <c r="H87" s="140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</row>
    <row r="88" spans="2:59" s="32" customFormat="1" x14ac:dyDescent="0.2">
      <c r="B88" s="131"/>
      <c r="C88" s="316" t="s">
        <v>200</v>
      </c>
      <c r="D88" s="332"/>
      <c r="E88" s="332"/>
      <c r="F88" s="258">
        <f>53534+38621+103574</f>
        <v>195729</v>
      </c>
      <c r="G88" s="86"/>
      <c r="H88" s="140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</row>
    <row r="89" spans="2:59" s="32" customFormat="1" x14ac:dyDescent="0.2">
      <c r="B89" s="131"/>
      <c r="C89" s="316" t="s">
        <v>201</v>
      </c>
      <c r="D89" s="332"/>
      <c r="E89" s="332"/>
      <c r="F89" s="258">
        <v>0</v>
      </c>
      <c r="G89" s="86"/>
      <c r="H89" s="140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</row>
    <row r="90" spans="2:59" s="32" customFormat="1" x14ac:dyDescent="0.2">
      <c r="B90" s="131"/>
      <c r="C90" s="316" t="s">
        <v>202</v>
      </c>
      <c r="D90" s="332"/>
      <c r="E90" s="332"/>
      <c r="F90" s="258">
        <v>0</v>
      </c>
      <c r="G90" s="86"/>
      <c r="H90" s="140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</row>
    <row r="91" spans="2:59" s="32" customFormat="1" x14ac:dyDescent="0.2">
      <c r="B91" s="131"/>
      <c r="C91" s="316" t="s">
        <v>203</v>
      </c>
      <c r="D91" s="332"/>
      <c r="E91" s="332"/>
      <c r="F91" s="258">
        <v>0</v>
      </c>
      <c r="G91" s="86"/>
      <c r="H91" s="140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</row>
    <row r="92" spans="2:59" s="32" customFormat="1" x14ac:dyDescent="0.2">
      <c r="B92" s="131"/>
      <c r="C92" s="316" t="s">
        <v>204</v>
      </c>
      <c r="D92" s="332"/>
      <c r="E92" s="332"/>
      <c r="F92" s="258">
        <v>0</v>
      </c>
      <c r="G92" s="86"/>
      <c r="H92" s="140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</row>
    <row r="93" spans="2:59" s="32" customFormat="1" x14ac:dyDescent="0.2">
      <c r="B93" s="131"/>
      <c r="C93" s="316" t="s">
        <v>205</v>
      </c>
      <c r="D93" s="332"/>
      <c r="E93" s="332"/>
      <c r="F93" s="258">
        <v>0</v>
      </c>
      <c r="G93" s="86"/>
      <c r="H93" s="140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</row>
    <row r="94" spans="2:59" s="32" customFormat="1" x14ac:dyDescent="0.2">
      <c r="B94" s="131"/>
      <c r="C94" s="316" t="s">
        <v>206</v>
      </c>
      <c r="D94" s="332"/>
      <c r="E94" s="332"/>
      <c r="F94" s="258">
        <v>0</v>
      </c>
      <c r="G94" s="86"/>
      <c r="H94" s="140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</row>
    <row r="95" spans="2:59" s="32" customFormat="1" x14ac:dyDescent="0.2">
      <c r="B95" s="131"/>
      <c r="C95" s="316" t="s">
        <v>207</v>
      </c>
      <c r="D95" s="332"/>
      <c r="E95" s="332"/>
      <c r="F95" s="258">
        <v>466296</v>
      </c>
      <c r="G95" s="86"/>
      <c r="H95" s="140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</row>
    <row r="96" spans="2:59" s="32" customFormat="1" x14ac:dyDescent="0.2">
      <c r="B96" s="131"/>
      <c r="C96" s="180" t="s">
        <v>208</v>
      </c>
      <c r="D96" s="216"/>
      <c r="E96" s="216"/>
      <c r="F96" s="258">
        <v>0</v>
      </c>
      <c r="G96" s="86"/>
      <c r="H96" s="140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</row>
    <row r="97" spans="2:59" s="32" customFormat="1" x14ac:dyDescent="0.2">
      <c r="B97" s="131"/>
      <c r="C97" s="316" t="s">
        <v>209</v>
      </c>
      <c r="D97" s="332"/>
      <c r="E97" s="332"/>
      <c r="F97" s="258">
        <v>486693</v>
      </c>
      <c r="G97" s="86"/>
      <c r="H97" s="140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</row>
    <row r="98" spans="2:59" s="32" customFormat="1" x14ac:dyDescent="0.2">
      <c r="B98" s="131"/>
      <c r="C98" s="316" t="s">
        <v>210</v>
      </c>
      <c r="D98" s="332"/>
      <c r="E98" s="332"/>
      <c r="F98" s="258">
        <v>176800</v>
      </c>
      <c r="G98" s="86"/>
      <c r="H98" s="140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</row>
    <row r="99" spans="2:59" s="32" customFormat="1" x14ac:dyDescent="0.2">
      <c r="B99" s="131"/>
      <c r="C99" s="316" t="s">
        <v>211</v>
      </c>
      <c r="D99" s="332"/>
      <c r="E99" s="332"/>
      <c r="F99" s="258">
        <v>253928</v>
      </c>
      <c r="G99" s="86"/>
      <c r="H99" s="140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</row>
    <row r="100" spans="2:59" s="32" customFormat="1" ht="15" x14ac:dyDescent="0.25">
      <c r="B100" s="131"/>
      <c r="C100" s="316" t="s">
        <v>212</v>
      </c>
      <c r="D100" s="332"/>
      <c r="E100" s="332"/>
      <c r="F100" s="258">
        <v>3140448</v>
      </c>
      <c r="G100" s="86"/>
      <c r="H100" s="140"/>
      <c r="I100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</row>
    <row r="101" spans="2:59" s="32" customFormat="1" ht="15" x14ac:dyDescent="0.25">
      <c r="B101" s="131"/>
      <c r="C101" s="316" t="s">
        <v>213</v>
      </c>
      <c r="D101" s="332"/>
      <c r="E101" s="332"/>
      <c r="F101" s="258">
        <v>645280</v>
      </c>
      <c r="G101" s="86"/>
      <c r="H101" s="140"/>
      <c r="I101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</row>
    <row r="102" spans="2:59" s="32" customFormat="1" ht="15" x14ac:dyDescent="0.25">
      <c r="B102" s="131"/>
      <c r="C102" s="316" t="s">
        <v>214</v>
      </c>
      <c r="D102" s="332"/>
      <c r="E102" s="332"/>
      <c r="F102" s="258">
        <v>0</v>
      </c>
      <c r="G102" s="86"/>
      <c r="H102" s="140"/>
      <c r="I102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</row>
    <row r="103" spans="2:59" s="32" customFormat="1" ht="15" x14ac:dyDescent="0.25">
      <c r="B103" s="131"/>
      <c r="C103" s="316" t="s">
        <v>215</v>
      </c>
      <c r="D103" s="332"/>
      <c r="E103" s="332"/>
      <c r="F103" s="258">
        <v>0</v>
      </c>
      <c r="G103" s="86"/>
      <c r="H103" s="140"/>
      <c r="I103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</row>
    <row r="104" spans="2:59" s="32" customFormat="1" ht="15" x14ac:dyDescent="0.25">
      <c r="B104" s="131"/>
      <c r="C104" s="180" t="s">
        <v>216</v>
      </c>
      <c r="D104" s="216"/>
      <c r="E104" s="216"/>
      <c r="F104" s="258">
        <v>18000</v>
      </c>
      <c r="G104" s="86"/>
      <c r="H104" s="140"/>
      <c r="I104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</row>
    <row r="105" spans="2:59" s="32" customFormat="1" x14ac:dyDescent="0.2">
      <c r="B105" s="131"/>
      <c r="C105" s="316" t="s">
        <v>217</v>
      </c>
      <c r="D105" s="332"/>
      <c r="E105" s="332"/>
      <c r="F105" s="258">
        <v>0</v>
      </c>
      <c r="G105" s="86"/>
      <c r="H105" s="140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</row>
    <row r="106" spans="2:59" s="32" customFormat="1" x14ac:dyDescent="0.2">
      <c r="B106" s="131"/>
      <c r="C106" s="316" t="s">
        <v>218</v>
      </c>
      <c r="D106" s="332"/>
      <c r="E106" s="332"/>
      <c r="F106" s="258">
        <v>0</v>
      </c>
      <c r="G106" s="86"/>
      <c r="H106" s="140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</row>
    <row r="107" spans="2:59" s="32" customFormat="1" x14ac:dyDescent="0.2">
      <c r="B107" s="131"/>
      <c r="C107" s="316" t="s">
        <v>219</v>
      </c>
      <c r="D107" s="332"/>
      <c r="E107" s="332"/>
      <c r="F107" s="258">
        <v>0</v>
      </c>
      <c r="G107" s="86"/>
      <c r="H107" s="140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</row>
    <row r="108" spans="2:59" s="32" customFormat="1" x14ac:dyDescent="0.2">
      <c r="B108" s="131"/>
      <c r="C108" s="180" t="s">
        <v>220</v>
      </c>
      <c r="D108" s="216"/>
      <c r="E108" s="216"/>
      <c r="F108" s="258">
        <v>0</v>
      </c>
      <c r="G108" s="86"/>
      <c r="H108" s="140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</row>
    <row r="109" spans="2:59" s="32" customFormat="1" x14ac:dyDescent="0.2">
      <c r="B109" s="131"/>
      <c r="C109" s="180" t="s">
        <v>221</v>
      </c>
      <c r="D109" s="216"/>
      <c r="E109" s="216"/>
      <c r="F109" s="258">
        <v>0</v>
      </c>
      <c r="G109" s="86"/>
      <c r="H109" s="140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</row>
    <row r="110" spans="2:59" s="32" customFormat="1" x14ac:dyDescent="0.2">
      <c r="B110" s="131"/>
      <c r="C110" s="180"/>
      <c r="D110" s="216"/>
      <c r="E110" s="216"/>
      <c r="F110" s="258">
        <v>0</v>
      </c>
      <c r="G110" s="86"/>
      <c r="H110" s="140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</row>
    <row r="111" spans="2:59" s="32" customFormat="1" x14ac:dyDescent="0.2">
      <c r="B111" s="131"/>
      <c r="C111" s="180"/>
      <c r="D111" s="216"/>
      <c r="E111" s="216"/>
      <c r="F111" s="258">
        <v>0</v>
      </c>
      <c r="G111" s="86"/>
      <c r="H111" s="140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</row>
    <row r="112" spans="2:59" s="32" customFormat="1" x14ac:dyDescent="0.2">
      <c r="B112" s="131"/>
      <c r="C112" s="180"/>
      <c r="D112" s="216"/>
      <c r="E112" s="216"/>
      <c r="F112" s="258">
        <v>0</v>
      </c>
      <c r="G112" s="86"/>
      <c r="H112" s="140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</row>
    <row r="113" spans="2:59" s="32" customFormat="1" x14ac:dyDescent="0.2">
      <c r="B113" s="131"/>
      <c r="C113" s="316" t="s">
        <v>222</v>
      </c>
      <c r="D113" s="332"/>
      <c r="E113" s="332"/>
      <c r="F113" s="258">
        <v>0</v>
      </c>
      <c r="G113" s="86"/>
      <c r="H113" s="140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</row>
    <row r="114" spans="2:59" s="32" customFormat="1" x14ac:dyDescent="0.2">
      <c r="B114" s="131"/>
      <c r="C114" s="180" t="s">
        <v>223</v>
      </c>
      <c r="D114" s="216"/>
      <c r="E114" s="216"/>
      <c r="F114" s="258">
        <v>0</v>
      </c>
      <c r="G114" s="86"/>
      <c r="H114" s="140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</row>
    <row r="115" spans="2:59" s="32" customFormat="1" x14ac:dyDescent="0.2">
      <c r="B115" s="131"/>
      <c r="C115" s="316" t="s">
        <v>224</v>
      </c>
      <c r="D115" s="332"/>
      <c r="E115" s="332"/>
      <c r="F115" s="258">
        <v>0</v>
      </c>
      <c r="G115" s="86"/>
      <c r="H115" s="140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</row>
    <row r="116" spans="2:59" s="32" customFormat="1" x14ac:dyDescent="0.2">
      <c r="B116" s="131"/>
      <c r="C116" s="316" t="s">
        <v>225</v>
      </c>
      <c r="D116" s="332"/>
      <c r="E116" s="332"/>
      <c r="F116" s="258">
        <v>0</v>
      </c>
      <c r="G116" s="86"/>
      <c r="H116" s="140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</row>
    <row r="117" spans="2:59" s="32" customFormat="1" ht="13.5" thickBot="1" x14ac:dyDescent="0.25">
      <c r="B117" s="131"/>
      <c r="C117" s="316" t="s">
        <v>226</v>
      </c>
      <c r="D117" s="332"/>
      <c r="E117" s="332"/>
      <c r="F117" s="258">
        <v>486693</v>
      </c>
      <c r="G117" s="86"/>
      <c r="H117" s="220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</row>
    <row r="118" spans="2:59" ht="15.75" thickBot="1" x14ac:dyDescent="0.3">
      <c r="B118" s="107"/>
      <c r="C118" s="323" t="s">
        <v>227</v>
      </c>
      <c r="D118" s="348"/>
      <c r="E118" s="324"/>
      <c r="F118" s="200">
        <f>SUM(F55:F117)</f>
        <v>10286440.789999999</v>
      </c>
      <c r="G118" s="208">
        <f>+F118/F9</f>
        <v>0.18294688317026425</v>
      </c>
      <c r="H118" s="221">
        <f>SUM(H55:H117)</f>
        <v>0</v>
      </c>
    </row>
    <row r="119" spans="2:59" ht="13.5" thickBot="1" x14ac:dyDescent="0.25">
      <c r="B119" s="107"/>
      <c r="C119" s="155"/>
      <c r="D119" s="156"/>
      <c r="E119" s="156"/>
      <c r="F119" s="156"/>
      <c r="G119" s="222"/>
      <c r="H119" s="223" t="s">
        <v>228</v>
      </c>
    </row>
    <row r="120" spans="2:59" ht="15.75" thickBot="1" x14ac:dyDescent="0.3">
      <c r="B120" s="107"/>
      <c r="C120" s="282" t="s">
        <v>229</v>
      </c>
      <c r="D120" s="283"/>
      <c r="E120" s="284"/>
      <c r="F120" s="200">
        <f>+F9-F22-F52-F118</f>
        <v>2602330.2100000009</v>
      </c>
      <c r="G120" s="208">
        <f>+F120/F9</f>
        <v>4.6283083781724604E-2</v>
      </c>
      <c r="H120" s="200">
        <f>+H9-H22-H52-H118</f>
        <v>0</v>
      </c>
    </row>
    <row r="121" spans="2:59" ht="15.75" thickBot="1" x14ac:dyDescent="0.3">
      <c r="B121" s="107"/>
      <c r="C121" s="224"/>
      <c r="D121" s="225"/>
      <c r="E121" s="226"/>
      <c r="F121" s="227"/>
      <c r="G121" s="126"/>
      <c r="H121" s="208" t="e">
        <f>+H120/H9</f>
        <v>#DIV/0!</v>
      </c>
    </row>
    <row r="122" spans="2:59" ht="28.5" customHeight="1" thickBot="1" x14ac:dyDescent="0.25">
      <c r="B122" s="107"/>
      <c r="C122" s="228"/>
      <c r="D122" s="229"/>
      <c r="E122" s="230"/>
      <c r="F122" s="231"/>
      <c r="G122" s="232"/>
      <c r="H122" s="126"/>
    </row>
    <row r="123" spans="2:59" ht="18.75" customHeight="1" thickTop="1" thickBot="1" x14ac:dyDescent="0.25">
      <c r="B123" s="199"/>
      <c r="C123" s="349" t="s">
        <v>230</v>
      </c>
      <c r="D123" s="350"/>
      <c r="E123" s="351"/>
      <c r="F123" s="334" t="s">
        <v>231</v>
      </c>
      <c r="G123" s="335"/>
      <c r="H123" s="233"/>
    </row>
    <row r="125" spans="2:59" ht="13.5" thickBot="1" x14ac:dyDescent="0.25"/>
    <row r="126" spans="2:59" ht="18" customHeight="1" thickBot="1" x14ac:dyDescent="0.25">
      <c r="C126" s="336" t="s">
        <v>232</v>
      </c>
      <c r="D126" s="337"/>
      <c r="E126" s="337"/>
      <c r="F126" s="337"/>
      <c r="G126" s="337"/>
      <c r="H126" s="337"/>
      <c r="I126" s="338"/>
    </row>
    <row r="127" spans="2:59" ht="26.25" thickBot="1" x14ac:dyDescent="0.25">
      <c r="C127" s="234"/>
      <c r="D127" s="235" t="s">
        <v>233</v>
      </c>
      <c r="E127" s="235" t="s">
        <v>234</v>
      </c>
      <c r="F127" s="236" t="s">
        <v>235</v>
      </c>
      <c r="G127" s="237" t="s">
        <v>236</v>
      </c>
      <c r="H127" s="237" t="s">
        <v>237</v>
      </c>
      <c r="I127" s="238" t="s">
        <v>235</v>
      </c>
    </row>
    <row r="128" spans="2:59" x14ac:dyDescent="0.2">
      <c r="C128" s="239" t="s">
        <v>66</v>
      </c>
      <c r="D128" s="240">
        <f>F9/1000</f>
        <v>56226.379000000001</v>
      </c>
      <c r="E128" s="241">
        <v>70035</v>
      </c>
      <c r="F128" s="242">
        <f>+D128-E128</f>
        <v>-13808.620999999999</v>
      </c>
      <c r="G128" s="243">
        <v>69324</v>
      </c>
      <c r="H128" s="241">
        <v>0</v>
      </c>
      <c r="I128" s="244">
        <f>H128-G128</f>
        <v>-69324</v>
      </c>
    </row>
    <row r="129" spans="3:9" x14ac:dyDescent="0.2">
      <c r="C129" s="245" t="s">
        <v>73</v>
      </c>
      <c r="D129" s="246">
        <f>F22/1000</f>
        <v>32362.235000000001</v>
      </c>
      <c r="E129" s="247">
        <v>46324</v>
      </c>
      <c r="F129" s="248">
        <f t="shared" ref="F129:F136" si="1">+D129-E129</f>
        <v>-13961.764999999999</v>
      </c>
      <c r="G129" s="249">
        <v>45854</v>
      </c>
      <c r="H129" s="247">
        <v>0</v>
      </c>
      <c r="I129" s="250">
        <f>H129-G129</f>
        <v>-45854</v>
      </c>
    </row>
    <row r="130" spans="3:9" x14ac:dyDescent="0.2">
      <c r="C130" s="245" t="s">
        <v>70</v>
      </c>
      <c r="D130" s="251">
        <f>+D129/D128</f>
        <v>0.5755703208275248</v>
      </c>
      <c r="E130" s="251">
        <f>+E129/E128</f>
        <v>0.66144070821731993</v>
      </c>
      <c r="F130" s="252">
        <f t="shared" si="1"/>
        <v>-8.5870387389795133E-2</v>
      </c>
      <c r="G130" s="252">
        <f>+G129/G128</f>
        <v>0.66144480987825283</v>
      </c>
      <c r="H130" s="251" t="e">
        <f>+H129/H128</f>
        <v>#DIV/0!</v>
      </c>
      <c r="I130" s="250"/>
    </row>
    <row r="131" spans="3:9" x14ac:dyDescent="0.2">
      <c r="C131" s="245" t="s">
        <v>88</v>
      </c>
      <c r="D131" s="246">
        <f>F52/1000</f>
        <v>10975.373</v>
      </c>
      <c r="E131" s="247">
        <v>13749</v>
      </c>
      <c r="F131" s="248">
        <f>+E131-D131</f>
        <v>2773.6270000000004</v>
      </c>
      <c r="G131" s="249">
        <v>14176</v>
      </c>
      <c r="H131" s="247">
        <v>0</v>
      </c>
      <c r="I131" s="250">
        <f>H131-G131</f>
        <v>-14176</v>
      </c>
    </row>
    <row r="132" spans="3:9" x14ac:dyDescent="0.2">
      <c r="C132" s="245" t="s">
        <v>70</v>
      </c>
      <c r="D132" s="251">
        <f>+D131/D128</f>
        <v>0.1951997122204864</v>
      </c>
      <c r="E132" s="251">
        <f>+E131/E128</f>
        <v>0.19631612765046047</v>
      </c>
      <c r="F132" s="252">
        <f t="shared" si="1"/>
        <v>-1.1164154299740658E-3</v>
      </c>
      <c r="G132" s="252">
        <f>+G131/G128</f>
        <v>0.20448906583578558</v>
      </c>
      <c r="H132" s="251" t="e">
        <f>+H131/H128</f>
        <v>#DIV/0!</v>
      </c>
      <c r="I132" s="250"/>
    </row>
    <row r="133" spans="3:9" x14ac:dyDescent="0.2">
      <c r="C133" s="245" t="s">
        <v>165</v>
      </c>
      <c r="D133" s="246">
        <f>F118/1000</f>
        <v>10286.440789999999</v>
      </c>
      <c r="E133" s="247">
        <v>2002</v>
      </c>
      <c r="F133" s="248">
        <f t="shared" si="1"/>
        <v>8284.4407899999987</v>
      </c>
      <c r="G133" s="249">
        <v>2002</v>
      </c>
      <c r="H133" s="247">
        <v>0</v>
      </c>
      <c r="I133" s="250">
        <f>H133-G133</f>
        <v>-2002</v>
      </c>
    </row>
    <row r="134" spans="3:9" x14ac:dyDescent="0.2">
      <c r="C134" s="245" t="s">
        <v>70</v>
      </c>
      <c r="D134" s="251">
        <f>+D133/D128</f>
        <v>0.18294688317026425</v>
      </c>
      <c r="E134" s="251">
        <f>+E133/E128</f>
        <v>2.8585707146426786E-2</v>
      </c>
      <c r="F134" s="252">
        <f t="shared" si="1"/>
        <v>0.15436117602383748</v>
      </c>
      <c r="G134" s="252">
        <f>+G133/G128</f>
        <v>2.8878887542553806E-2</v>
      </c>
      <c r="H134" s="251" t="e">
        <f>+H133/H128</f>
        <v>#DIV/0!</v>
      </c>
      <c r="I134" s="250"/>
    </row>
    <row r="135" spans="3:9" x14ac:dyDescent="0.2">
      <c r="C135" s="245" t="s">
        <v>228</v>
      </c>
      <c r="D135" s="246">
        <f>(+D128-D129-D131-D133)</f>
        <v>2602.3302100000019</v>
      </c>
      <c r="E135" s="247">
        <f>(+E128-E129-E131-E133)</f>
        <v>7960</v>
      </c>
      <c r="F135" s="248">
        <f t="shared" si="1"/>
        <v>-5357.6697899999981</v>
      </c>
      <c r="G135" s="247">
        <f>(+G128-G129-G131-G133)</f>
        <v>7292</v>
      </c>
      <c r="H135" s="247">
        <f>(+H128-H129-H131-H133)</f>
        <v>0</v>
      </c>
      <c r="I135" s="250">
        <f>H135-G135</f>
        <v>-7292</v>
      </c>
    </row>
    <row r="136" spans="3:9" ht="13.5" thickBot="1" x14ac:dyDescent="0.25">
      <c r="C136" s="253" t="s">
        <v>70</v>
      </c>
      <c r="D136" s="254">
        <f>D135/D128</f>
        <v>4.6283083781724625E-2</v>
      </c>
      <c r="E136" s="254">
        <f>E135/E128</f>
        <v>0.11365745698579281</v>
      </c>
      <c r="F136" s="255">
        <f t="shared" si="1"/>
        <v>-6.7374373204068194E-2</v>
      </c>
      <c r="G136" s="255">
        <f>+G135/G128</f>
        <v>0.10518723674340777</v>
      </c>
      <c r="H136" s="254" t="e">
        <f>H135/H128</f>
        <v>#DIV/0!</v>
      </c>
      <c r="I136" s="250"/>
    </row>
    <row r="137" spans="3:9" ht="15" x14ac:dyDescent="0.25">
      <c r="C137" s="256" t="s">
        <v>238</v>
      </c>
    </row>
    <row r="138" spans="3:9" ht="13.5" thickBot="1" x14ac:dyDescent="0.25"/>
    <row r="139" spans="3:9" ht="15.75" thickBot="1" x14ac:dyDescent="0.25">
      <c r="C139" s="339" t="s">
        <v>239</v>
      </c>
      <c r="D139" s="340"/>
      <c r="E139" s="340"/>
      <c r="F139" s="340"/>
      <c r="G139" s="340"/>
      <c r="H139" s="340"/>
      <c r="I139" s="341"/>
    </row>
    <row r="140" spans="3:9" ht="13.5" thickBot="1" x14ac:dyDescent="0.25"/>
    <row r="141" spans="3:9" ht="13.5" thickBot="1" x14ac:dyDescent="0.25">
      <c r="C141" s="342" t="s">
        <v>240</v>
      </c>
      <c r="D141" s="343"/>
      <c r="E141" s="343"/>
      <c r="F141" s="343"/>
      <c r="G141" s="343"/>
      <c r="H141" s="343"/>
      <c r="I141" s="344"/>
    </row>
    <row r="142" spans="3:9" ht="15.75" thickBot="1" x14ac:dyDescent="0.25">
      <c r="C142" s="345"/>
      <c r="D142" s="346"/>
      <c r="E142" s="346"/>
      <c r="F142" s="346"/>
      <c r="G142" s="346"/>
      <c r="H142" s="346"/>
      <c r="I142" s="347"/>
    </row>
    <row r="143" spans="3:9" ht="13.5" thickBot="1" x14ac:dyDescent="0.25">
      <c r="C143" s="342" t="s">
        <v>241</v>
      </c>
      <c r="D143" s="343"/>
      <c r="E143" s="343"/>
      <c r="F143" s="343"/>
      <c r="G143" s="343"/>
      <c r="H143" s="343"/>
      <c r="I143" s="344"/>
    </row>
    <row r="144" spans="3:9" ht="15.75" thickBot="1" x14ac:dyDescent="0.25">
      <c r="C144" s="345"/>
      <c r="D144" s="346"/>
      <c r="E144" s="346"/>
      <c r="F144" s="346"/>
      <c r="G144" s="346"/>
      <c r="H144" s="346"/>
      <c r="I144" s="347"/>
    </row>
    <row r="145" spans="3:9" ht="13.5" thickBot="1" x14ac:dyDescent="0.25">
      <c r="C145" s="342" t="s">
        <v>242</v>
      </c>
      <c r="D145" s="343"/>
      <c r="E145" s="343"/>
      <c r="F145" s="343"/>
      <c r="G145" s="343"/>
      <c r="H145" s="343"/>
      <c r="I145" s="344"/>
    </row>
    <row r="146" spans="3:9" ht="15.75" thickBot="1" x14ac:dyDescent="0.25">
      <c r="C146" s="345"/>
      <c r="D146" s="346"/>
      <c r="E146" s="346"/>
      <c r="F146" s="346"/>
      <c r="G146" s="346"/>
      <c r="H146" s="346"/>
      <c r="I146" s="347"/>
    </row>
    <row r="147" spans="3:9" ht="13.5" thickBot="1" x14ac:dyDescent="0.25">
      <c r="C147" s="342" t="s">
        <v>243</v>
      </c>
      <c r="D147" s="343"/>
      <c r="E147" s="343"/>
      <c r="F147" s="343"/>
      <c r="G147" s="343"/>
      <c r="H147" s="343"/>
      <c r="I147" s="344"/>
    </row>
    <row r="148" spans="3:9" ht="15.75" thickBot="1" x14ac:dyDescent="0.25">
      <c r="C148" s="345"/>
      <c r="D148" s="346"/>
      <c r="E148" s="346"/>
      <c r="F148" s="346"/>
      <c r="G148" s="346"/>
      <c r="H148" s="346"/>
      <c r="I148" s="347"/>
    </row>
    <row r="149" spans="3:9" ht="13.5" thickBot="1" x14ac:dyDescent="0.25">
      <c r="C149" s="342" t="s">
        <v>244</v>
      </c>
      <c r="D149" s="343"/>
      <c r="E149" s="343"/>
      <c r="F149" s="343"/>
      <c r="G149" s="343"/>
      <c r="H149" s="343"/>
      <c r="I149" s="344"/>
    </row>
    <row r="150" spans="3:9" ht="15.75" thickBot="1" x14ac:dyDescent="0.25">
      <c r="C150" s="345"/>
      <c r="D150" s="346"/>
      <c r="E150" s="346"/>
      <c r="F150" s="346"/>
      <c r="G150" s="346"/>
      <c r="H150" s="346"/>
      <c r="I150" s="347"/>
    </row>
    <row r="151" spans="3:9" ht="13.5" thickBot="1" x14ac:dyDescent="0.25">
      <c r="C151" s="342" t="s">
        <v>245</v>
      </c>
      <c r="D151" s="343"/>
      <c r="E151" s="343"/>
      <c r="F151" s="343"/>
      <c r="G151" s="343"/>
      <c r="H151" s="343"/>
      <c r="I151" s="344"/>
    </row>
    <row r="152" spans="3:9" ht="15.75" thickBot="1" x14ac:dyDescent="0.25">
      <c r="C152" s="345"/>
      <c r="D152" s="346"/>
      <c r="E152" s="346"/>
      <c r="F152" s="346"/>
      <c r="G152" s="346"/>
      <c r="H152" s="346"/>
      <c r="I152" s="347"/>
    </row>
    <row r="153" spans="3:9" ht="13.5" thickBot="1" x14ac:dyDescent="0.25">
      <c r="C153" s="342" t="s">
        <v>246</v>
      </c>
      <c r="D153" s="343"/>
      <c r="E153" s="343"/>
      <c r="F153" s="343"/>
      <c r="G153" s="343"/>
      <c r="H153" s="343"/>
      <c r="I153" s="344"/>
    </row>
    <row r="154" spans="3:9" ht="15.75" thickBot="1" x14ac:dyDescent="0.25">
      <c r="C154" s="345"/>
      <c r="D154" s="346"/>
      <c r="E154" s="346"/>
      <c r="F154" s="346"/>
      <c r="G154" s="346"/>
      <c r="H154" s="346"/>
      <c r="I154" s="347"/>
    </row>
    <row r="155" spans="3:9" ht="13.5" thickBot="1" x14ac:dyDescent="0.25">
      <c r="C155" s="342" t="s">
        <v>247</v>
      </c>
      <c r="D155" s="343"/>
      <c r="E155" s="343"/>
      <c r="F155" s="343"/>
      <c r="G155" s="343"/>
      <c r="H155" s="343"/>
      <c r="I155" s="344"/>
    </row>
    <row r="156" spans="3:9" ht="15.75" thickBot="1" x14ac:dyDescent="0.25">
      <c r="C156" s="345"/>
      <c r="D156" s="346"/>
      <c r="E156" s="346"/>
      <c r="F156" s="346"/>
      <c r="G156" s="346"/>
      <c r="H156" s="346"/>
      <c r="I156" s="347"/>
    </row>
  </sheetData>
  <mergeCells count="110">
    <mergeCell ref="C156:I156"/>
    <mergeCell ref="C150:I150"/>
    <mergeCell ref="C151:I151"/>
    <mergeCell ref="C152:I152"/>
    <mergeCell ref="C153:I153"/>
    <mergeCell ref="C154:I154"/>
    <mergeCell ref="C155:I155"/>
    <mergeCell ref="C144:I144"/>
    <mergeCell ref="C145:I145"/>
    <mergeCell ref="C146:I146"/>
    <mergeCell ref="C147:I147"/>
    <mergeCell ref="C148:I148"/>
    <mergeCell ref="C149:I149"/>
    <mergeCell ref="F123:G123"/>
    <mergeCell ref="C126:I126"/>
    <mergeCell ref="C139:I139"/>
    <mergeCell ref="C141:I141"/>
    <mergeCell ref="C142:I142"/>
    <mergeCell ref="C143:I143"/>
    <mergeCell ref="C115:E115"/>
    <mergeCell ref="C116:E116"/>
    <mergeCell ref="C117:E117"/>
    <mergeCell ref="C118:E118"/>
    <mergeCell ref="C120:E120"/>
    <mergeCell ref="C123:E123"/>
    <mergeCell ref="C102:E102"/>
    <mergeCell ref="C103:E103"/>
    <mergeCell ref="C105:E105"/>
    <mergeCell ref="C106:E106"/>
    <mergeCell ref="C107:E107"/>
    <mergeCell ref="C113:E113"/>
    <mergeCell ref="C95:E95"/>
    <mergeCell ref="C97:E97"/>
    <mergeCell ref="C98:E98"/>
    <mergeCell ref="C99:E99"/>
    <mergeCell ref="C100:E100"/>
    <mergeCell ref="C101:E101"/>
    <mergeCell ref="C89:E89"/>
    <mergeCell ref="C90:E90"/>
    <mergeCell ref="C91:E91"/>
    <mergeCell ref="C92:E92"/>
    <mergeCell ref="C93:E93"/>
    <mergeCell ref="C94:E94"/>
    <mergeCell ref="C83:E83"/>
    <mergeCell ref="C84:E84"/>
    <mergeCell ref="C85:E85"/>
    <mergeCell ref="C86:E86"/>
    <mergeCell ref="C87:E87"/>
    <mergeCell ref="C88:E88"/>
    <mergeCell ref="C77:E77"/>
    <mergeCell ref="C78:E78"/>
    <mergeCell ref="C79:E79"/>
    <mergeCell ref="C80:E80"/>
    <mergeCell ref="C81:E81"/>
    <mergeCell ref="C82:E82"/>
    <mergeCell ref="C71:E71"/>
    <mergeCell ref="C72:E72"/>
    <mergeCell ref="C73:E73"/>
    <mergeCell ref="C74:E74"/>
    <mergeCell ref="C75:E75"/>
    <mergeCell ref="C76:E76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C52:E52"/>
    <mergeCell ref="C54:D54"/>
    <mergeCell ref="C55:E55"/>
    <mergeCell ref="C56:E56"/>
    <mergeCell ref="C57:E57"/>
    <mergeCell ref="C58:E58"/>
    <mergeCell ref="C39:C41"/>
    <mergeCell ref="D39:E39"/>
    <mergeCell ref="D40:E40"/>
    <mergeCell ref="D41:E41"/>
    <mergeCell ref="C42:C44"/>
    <mergeCell ref="D42:E42"/>
    <mergeCell ref="D43:E43"/>
    <mergeCell ref="D44:E44"/>
    <mergeCell ref="G20:G21"/>
    <mergeCell ref="B22:C23"/>
    <mergeCell ref="J24:L25"/>
    <mergeCell ref="C25:D25"/>
    <mergeCell ref="C35:C38"/>
    <mergeCell ref="D35:E35"/>
    <mergeCell ref="D36:E36"/>
    <mergeCell ref="D37:E37"/>
    <mergeCell ref="D38:E38"/>
    <mergeCell ref="B5:C5"/>
    <mergeCell ref="J6:J8"/>
    <mergeCell ref="B9:E10"/>
    <mergeCell ref="F9:F10"/>
    <mergeCell ref="H9:H10"/>
    <mergeCell ref="B12:D12"/>
    <mergeCell ref="H12:H13"/>
    <mergeCell ref="B13:D13"/>
    <mergeCell ref="B1:H1"/>
    <mergeCell ref="B2:H2"/>
    <mergeCell ref="B3:C3"/>
    <mergeCell ref="D3:E3"/>
    <mergeCell ref="G3:H3"/>
    <mergeCell ref="B4:D4"/>
  </mergeCells>
  <conditionalFormatting sqref="F128">
    <cfRule type="cellIs" dxfId="1" priority="1" stopIfTrue="1" operator="lessThan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ignoredErrors>
    <ignoredError sqref="G8" formula="1"/>
  </ignoredError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1</vt:lpstr>
      <vt:lpstr>Formato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contrato_EPM</dc:creator>
  <cp:lastModifiedBy>alexis Gonzalez</cp:lastModifiedBy>
  <dcterms:created xsi:type="dcterms:W3CDTF">2011-05-20T16:32:02Z</dcterms:created>
  <dcterms:modified xsi:type="dcterms:W3CDTF">2024-07-10T20:25:18Z</dcterms:modified>
</cp:coreProperties>
</file>