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\Downloads\"/>
    </mc:Choice>
  </mc:AlternateContent>
  <xr:revisionPtr revIDLastSave="0" documentId="13_ncr:1_{C711F298-468E-48AD-9F80-E120CA785CE4}" xr6:coauthVersionLast="47" xr6:coauthVersionMax="47" xr10:uidLastSave="{00000000-0000-0000-0000-000000000000}"/>
  <bookViews>
    <workbookView xWindow="-120" yWindow="-120" windowWidth="20730" windowHeight="11040" activeTab="4" xr2:uid="{84433F44-A431-4D3A-9CDA-34794A9EF2BF}"/>
  </bookViews>
  <sheets>
    <sheet name="INICIO" sheetId="6" r:id="rId1"/>
    <sheet name="Lista de precios" sheetId="1" r:id="rId2"/>
    <sheet name="Materia prima" sheetId="2" r:id="rId3"/>
    <sheet name="Mano de obra" sheetId="3" r:id="rId4"/>
    <sheet name="CIF" sheetId="4" r:id="rId5"/>
    <sheet name="RESULTADOS" sheetId="5" r:id="rId6"/>
  </sheets>
  <definedNames>
    <definedName name="productos">Listadeprecios[PRODUCTO]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4" l="1"/>
  <c r="J16" i="4"/>
  <c r="H16" i="4"/>
  <c r="F16" i="4"/>
  <c r="E10" i="3"/>
  <c r="G10" i="3"/>
  <c r="D4" i="4"/>
  <c r="K6" i="4"/>
  <c r="K7" i="4"/>
  <c r="K8" i="4"/>
  <c r="K9" i="4"/>
  <c r="K10" i="4"/>
  <c r="K11" i="4"/>
  <c r="K12" i="4"/>
  <c r="K2" i="4" s="1"/>
  <c r="B2" i="5" s="1"/>
  <c r="B8" i="5" s="1"/>
  <c r="B9" i="5" s="1"/>
  <c r="E4" i="5" s="1"/>
  <c r="K13" i="4"/>
  <c r="K14" i="4"/>
  <c r="K15" i="4"/>
  <c r="J6" i="4"/>
  <c r="J7" i="4"/>
  <c r="J8" i="4"/>
  <c r="J9" i="4"/>
  <c r="J10" i="4"/>
  <c r="J11" i="4"/>
  <c r="J12" i="4"/>
  <c r="J13" i="4"/>
  <c r="J14" i="4"/>
  <c r="J15" i="4"/>
  <c r="F6" i="4"/>
  <c r="F7" i="4"/>
  <c r="F8" i="4"/>
  <c r="F9" i="4"/>
  <c r="F10" i="4"/>
  <c r="F11" i="4"/>
  <c r="F12" i="4"/>
  <c r="F13" i="4"/>
  <c r="F14" i="4"/>
  <c r="F15" i="4"/>
  <c r="H6" i="4"/>
  <c r="H7" i="4"/>
  <c r="H8" i="4"/>
  <c r="H9" i="4"/>
  <c r="H10" i="4"/>
  <c r="H11" i="4"/>
  <c r="H12" i="4"/>
  <c r="H13" i="4"/>
  <c r="H14" i="4"/>
  <c r="H15" i="4"/>
  <c r="L4" i="3"/>
  <c r="L18" i="3"/>
  <c r="D9" i="2"/>
  <c r="D10" i="2"/>
  <c r="D11" i="2"/>
  <c r="D12" i="2"/>
  <c r="D13" i="2"/>
  <c r="D14" i="2"/>
  <c r="D15" i="2"/>
  <c r="D16" i="2"/>
  <c r="D17" i="2"/>
  <c r="J13" i="2"/>
  <c r="J10" i="2"/>
  <c r="C9" i="2"/>
  <c r="C10" i="2"/>
  <c r="C11" i="2"/>
  <c r="C12" i="2"/>
  <c r="C13" i="2"/>
  <c r="C14" i="2"/>
  <c r="C15" i="2"/>
  <c r="C16" i="2"/>
  <c r="C17" i="2"/>
  <c r="F5" i="1"/>
  <c r="F9" i="2"/>
  <c r="G9" i="2"/>
  <c r="F7" i="1"/>
  <c r="F10" i="2"/>
  <c r="G10" i="2"/>
  <c r="F8" i="1"/>
  <c r="F11" i="2"/>
  <c r="G11" i="2"/>
  <c r="F11" i="1"/>
  <c r="F12" i="2"/>
  <c r="G12" i="2"/>
  <c r="F10" i="1"/>
  <c r="F13" i="2"/>
  <c r="G13" i="2"/>
  <c r="F14" i="2"/>
  <c r="G14" i="2"/>
  <c r="F15" i="2"/>
  <c r="G15" i="2"/>
  <c r="F16" i="2"/>
  <c r="G16" i="2"/>
  <c r="F17" i="2"/>
  <c r="G17" i="2"/>
  <c r="L15" i="3"/>
  <c r="L9" i="3"/>
  <c r="L10" i="3"/>
  <c r="L14" i="3"/>
  <c r="L12" i="3"/>
  <c r="L13" i="3"/>
  <c r="L11" i="3"/>
  <c r="L16" i="3"/>
  <c r="L17" i="3"/>
  <c r="G6" i="2"/>
  <c r="B6" i="5"/>
  <c r="L7" i="3"/>
  <c r="C3" i="3"/>
  <c r="C4" i="3"/>
  <c r="C5" i="3"/>
  <c r="L2" i="3"/>
  <c r="E8" i="3"/>
  <c r="G8" i="3"/>
  <c r="G6" i="3"/>
  <c r="B7" i="5"/>
  <c r="E9" i="3"/>
  <c r="G9" i="3"/>
  <c r="F15" i="1"/>
  <c r="F14" i="1"/>
  <c r="F13" i="1"/>
  <c r="F12" i="1"/>
  <c r="F9" i="1"/>
  <c r="F6" i="1"/>
</calcChain>
</file>

<file path=xl/sharedStrings.xml><?xml version="1.0" encoding="utf-8"?>
<sst xmlns="http://schemas.openxmlformats.org/spreadsheetml/2006/main" count="112" uniqueCount="88">
  <si>
    <t>PRODUCTO</t>
  </si>
  <si>
    <t>MEDIDA</t>
  </si>
  <si>
    <t>CANT</t>
  </si>
  <si>
    <t>VLR UNIT</t>
  </si>
  <si>
    <t>VALOR</t>
  </si>
  <si>
    <t>Harina de trigo</t>
  </si>
  <si>
    <t>lb</t>
  </si>
  <si>
    <t>Azúcar</t>
  </si>
  <si>
    <t>Mantequilla</t>
  </si>
  <si>
    <t>Huevos</t>
  </si>
  <si>
    <t>unid</t>
  </si>
  <si>
    <t>Levadura</t>
  </si>
  <si>
    <t>Esencia</t>
  </si>
  <si>
    <t>lt</t>
  </si>
  <si>
    <t>Sal</t>
  </si>
  <si>
    <t>Arequipe</t>
  </si>
  <si>
    <t>Bocadillo</t>
  </si>
  <si>
    <t>COSTO DE LA MATERIA PRIMA</t>
  </si>
  <si>
    <t xml:space="preserve">CLASE DE PAN </t>
  </si>
  <si>
    <t>DULCE</t>
  </si>
  <si>
    <t>CANTIDAD POR ELABORAR EN LB</t>
  </si>
  <si>
    <t>COSTO MP</t>
  </si>
  <si>
    <t>INGREDIENTE</t>
  </si>
  <si>
    <t>FORMULA</t>
  </si>
  <si>
    <t>UNID. MED</t>
  </si>
  <si>
    <t>CANTIDAD</t>
  </si>
  <si>
    <t>VLR TOTAL</t>
  </si>
  <si>
    <t>Libras</t>
  </si>
  <si>
    <t>Gramos      a</t>
  </si>
  <si>
    <t>Ml      a</t>
  </si>
  <si>
    <t>Lt</t>
  </si>
  <si>
    <t>PROCESO</t>
  </si>
  <si>
    <t>MEDIDA DE TIEMPO</t>
  </si>
  <si>
    <t>TIEMPO</t>
  </si>
  <si>
    <t>N° DE OPERARIOS</t>
  </si>
  <si>
    <t>COSTO MANO DE OBRA</t>
  </si>
  <si>
    <t>CONCEPTO</t>
  </si>
  <si>
    <t>%</t>
  </si>
  <si>
    <t>SALUD</t>
  </si>
  <si>
    <t>ARL</t>
  </si>
  <si>
    <t>CAJA DE COMPENSACIÓN</t>
  </si>
  <si>
    <t xml:space="preserve">SENA </t>
  </si>
  <si>
    <t>ICBF</t>
  </si>
  <si>
    <t>PRIMA DE SERVICIOS</t>
  </si>
  <si>
    <t>CESANTÍAS</t>
  </si>
  <si>
    <t>INTERESES A LAS CESANT.</t>
  </si>
  <si>
    <t>VACACIONES</t>
  </si>
  <si>
    <t>DOTACIÓN</t>
  </si>
  <si>
    <t>OTROS</t>
  </si>
  <si>
    <t>Mensual</t>
  </si>
  <si>
    <t>Diario</t>
  </si>
  <si>
    <t>Auxi. Tpte</t>
  </si>
  <si>
    <t>HORAS DE TRABAJO AL DIA</t>
  </si>
  <si>
    <t>DIA</t>
  </si>
  <si>
    <t>HORA</t>
  </si>
  <si>
    <t>MIN.</t>
  </si>
  <si>
    <t>VLR UNIT.</t>
  </si>
  <si>
    <t>Alistar ingredientes</t>
  </si>
  <si>
    <t>mezclar</t>
  </si>
  <si>
    <t>PENSIÓN</t>
  </si>
  <si>
    <t>TOTAL DE HORAS  LABORADAS EN EL MES</t>
  </si>
  <si>
    <t>GASTOS MENSUALES</t>
  </si>
  <si>
    <t>Arriendo</t>
  </si>
  <si>
    <t>Electricidad</t>
  </si>
  <si>
    <t>Gas</t>
  </si>
  <si>
    <t>Agua</t>
  </si>
  <si>
    <t>Utiles de aseo</t>
  </si>
  <si>
    <t>Teléfono</t>
  </si>
  <si>
    <t>Internet</t>
  </si>
  <si>
    <t>Desechables</t>
  </si>
  <si>
    <t>Impuesto</t>
  </si>
  <si>
    <t>Mantenimiento</t>
  </si>
  <si>
    <t>Producción</t>
  </si>
  <si>
    <t>venta</t>
  </si>
  <si>
    <t>PORCENTAJE DE DISTRIBUCIÓN DE LOS GASTOS MENSUALES</t>
  </si>
  <si>
    <t>CIF TOTALES</t>
  </si>
  <si>
    <t>TOTAL</t>
  </si>
  <si>
    <t>TASA CIF</t>
  </si>
  <si>
    <t>MATERIA PRIMA</t>
  </si>
  <si>
    <t>MANO DE OBRA</t>
  </si>
  <si>
    <t>CIF</t>
  </si>
  <si>
    <t>COSTO MENSUAL  M.O</t>
  </si>
  <si>
    <t>COSTO TOTAL DE PRODUCCIÓN</t>
  </si>
  <si>
    <t>LISTA DE PRECIOS</t>
  </si>
  <si>
    <t>COSTO M.O</t>
  </si>
  <si>
    <t xml:space="preserve">Queso </t>
  </si>
  <si>
    <t>formar los panes</t>
  </si>
  <si>
    <t>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</si>
</sst>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164" formatCode="&quot;$&quot;\ #,##0.00"/>
    <numFmt numFmtId="165" formatCode="&quot;$&quot;\ #,##0"/>
    <numFmt numFmtId="166" formatCode="_-&quot;$&quot;\ * #,##0_-;\-&quot;$&quot;\ * #,##0_-;_-&quot;$&quot;\ * &quot;-&quot;??_-;_-@_-"/>
    <numFmt numFmtId="167" formatCode="0.00000%"/>
    <numFmt numFmtId="168" formatCode="0.000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0" tint="-0.14999847407452621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theme="0" tint="-0.14999847407452621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rgb="FF8EA9DB"/>
      </top>
      <bottom style="thin">
        <color theme="1"/>
      </bottom>
      <diagonal/>
    </border>
    <border>
      <left/>
      <right style="thin">
        <color theme="1"/>
      </right>
      <top style="medium">
        <color rgb="FF8EA9DB"/>
      </top>
      <bottom style="thin">
        <color theme="1"/>
      </bottom>
      <diagonal/>
    </border>
    <border>
      <left style="thin">
        <color theme="1"/>
      </left>
      <right/>
      <top style="medium">
        <color rgb="FF8EA9DB"/>
      </top>
      <bottom style="medium">
        <color rgb="FF8EA9DB"/>
      </bottom>
      <diagonal/>
    </border>
    <border>
      <left/>
      <right style="thin">
        <color theme="1"/>
      </right>
      <top style="medium">
        <color rgb="FF8EA9DB"/>
      </top>
      <bottom style="medium">
        <color rgb="FF8EA9D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5" fillId="3" borderId="5" xfId="0" applyFont="1" applyFill="1" applyBorder="1" applyAlignment="1">
      <alignment horizontal="center" vertical="center"/>
    </xf>
    <xf numFmtId="6" fontId="5" fillId="3" borderId="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0" fontId="3" fillId="4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3" fillId="4" borderId="11" xfId="0" applyFont="1" applyFill="1" applyBorder="1" applyAlignment="1">
      <alignment horizontal="center"/>
    </xf>
    <xf numFmtId="165" fontId="0" fillId="0" borderId="0" xfId="0" applyNumberFormat="1"/>
    <xf numFmtId="165" fontId="0" fillId="0" borderId="2" xfId="0" applyNumberFormat="1" applyBorder="1"/>
    <xf numFmtId="165" fontId="8" fillId="0" borderId="0" xfId="0" applyNumberFormat="1" applyFont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2" borderId="14" xfId="0" applyFill="1" applyBorder="1"/>
    <xf numFmtId="10" fontId="0" fillId="2" borderId="14" xfId="2" applyNumberFormat="1" applyFont="1" applyFill="1" applyBorder="1"/>
    <xf numFmtId="165" fontId="0" fillId="2" borderId="15" xfId="0" applyNumberFormat="1" applyFill="1" applyBorder="1"/>
    <xf numFmtId="0" fontId="0" fillId="0" borderId="12" xfId="0" applyBorder="1"/>
    <xf numFmtId="10" fontId="0" fillId="0" borderId="12" xfId="2" applyNumberFormat="1" applyFont="1" applyBorder="1"/>
    <xf numFmtId="165" fontId="0" fillId="0" borderId="13" xfId="0" applyNumberFormat="1" applyBorder="1"/>
    <xf numFmtId="0" fontId="0" fillId="2" borderId="12" xfId="0" applyFill="1" applyBorder="1"/>
    <xf numFmtId="10" fontId="0" fillId="2" borderId="12" xfId="2" applyNumberFormat="1" applyFont="1" applyFill="1" applyBorder="1"/>
    <xf numFmtId="165" fontId="0" fillId="2" borderId="13" xfId="0" applyNumberFormat="1" applyFill="1" applyBorder="1"/>
    <xf numFmtId="0" fontId="0" fillId="0" borderId="16" xfId="0" applyBorder="1"/>
    <xf numFmtId="10" fontId="0" fillId="0" borderId="16" xfId="2" applyNumberFormat="1" applyFont="1" applyBorder="1"/>
    <xf numFmtId="165" fontId="0" fillId="0" borderId="3" xfId="0" applyNumberFormat="1" applyBorder="1"/>
    <xf numFmtId="0" fontId="0" fillId="0" borderId="3" xfId="0" applyBorder="1"/>
    <xf numFmtId="166" fontId="0" fillId="0" borderId="0" xfId="1" applyNumberFormat="1" applyFont="1"/>
    <xf numFmtId="166" fontId="0" fillId="0" borderId="0" xfId="0" applyNumberFormat="1"/>
    <xf numFmtId="167" fontId="0" fillId="0" borderId="0" xfId="2" applyNumberFormat="1" applyFont="1"/>
    <xf numFmtId="168" fontId="0" fillId="0" borderId="0" xfId="2" applyNumberFormat="1" applyFon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9" fontId="0" fillId="0" borderId="0" xfId="2" applyFont="1" applyAlignment="1">
      <alignment horizontal="center"/>
    </xf>
    <xf numFmtId="0" fontId="3" fillId="0" borderId="0" xfId="0" applyFont="1"/>
    <xf numFmtId="165" fontId="10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right"/>
    </xf>
    <xf numFmtId="165" fontId="3" fillId="0" borderId="3" xfId="0" applyNumberFormat="1" applyFont="1" applyBorder="1"/>
    <xf numFmtId="0" fontId="3" fillId="5" borderId="10" xfId="0" applyFont="1" applyFill="1" applyBorder="1" applyAlignment="1">
      <alignment horizontal="center"/>
    </xf>
    <xf numFmtId="0" fontId="0" fillId="7" borderId="3" xfId="0" applyFill="1" applyBorder="1"/>
    <xf numFmtId="0" fontId="3" fillId="7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0" fillId="0" borderId="3" xfId="0" applyNumberFormat="1" applyBorder="1"/>
    <xf numFmtId="165" fontId="0" fillId="6" borderId="3" xfId="0" applyNumberFormat="1" applyFill="1" applyBorder="1"/>
    <xf numFmtId="0" fontId="11" fillId="0" borderId="3" xfId="3" applyFont="1" applyBorder="1"/>
    <xf numFmtId="6" fontId="12" fillId="0" borderId="3" xfId="3" applyNumberFormat="1" applyFont="1" applyBorder="1"/>
    <xf numFmtId="165" fontId="12" fillId="0" borderId="3" xfId="3" applyNumberFormat="1" applyFont="1" applyBorder="1"/>
    <xf numFmtId="0" fontId="3" fillId="10" borderId="10" xfId="0" applyFont="1" applyFill="1" applyBorder="1"/>
    <xf numFmtId="0" fontId="15" fillId="11" borderId="0" xfId="0" applyFont="1" applyFill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 wrapText="1"/>
    </xf>
    <xf numFmtId="0" fontId="0" fillId="9" borderId="0" xfId="0" applyFill="1"/>
    <xf numFmtId="0" fontId="0" fillId="9" borderId="3" xfId="0" applyFill="1" applyBorder="1" applyAlignment="1">
      <alignment horizontal="right"/>
    </xf>
    <xf numFmtId="165" fontId="9" fillId="9" borderId="3" xfId="0" applyNumberFormat="1" applyFont="1" applyFill="1" applyBorder="1" applyAlignment="1">
      <alignment horizontal="center"/>
    </xf>
    <xf numFmtId="0" fontId="16" fillId="11" borderId="12" xfId="0" applyFont="1" applyFill="1" applyBorder="1" applyAlignment="1">
      <alignment horizontal="center"/>
    </xf>
    <xf numFmtId="0" fontId="15" fillId="11" borderId="0" xfId="0" applyFont="1" applyFill="1" applyAlignment="1">
      <alignment horizontal="center"/>
    </xf>
    <xf numFmtId="0" fontId="11" fillId="9" borderId="3" xfId="3" applyFont="1" applyFill="1" applyBorder="1" applyAlignment="1">
      <alignment horizontal="right"/>
    </xf>
    <xf numFmtId="6" fontId="7" fillId="9" borderId="3" xfId="0" applyNumberFormat="1" applyFont="1" applyFill="1" applyBorder="1"/>
    <xf numFmtId="6" fontId="13" fillId="9" borderId="3" xfId="0" applyNumberFormat="1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3" borderId="18" xfId="0" applyFill="1" applyBorder="1" applyAlignment="1">
      <alignment horizontal="center"/>
    </xf>
    <xf numFmtId="0" fontId="4" fillId="9" borderId="3" xfId="0" applyFont="1" applyFill="1" applyBorder="1" applyAlignment="1">
      <alignment horizontal="center" vertical="center"/>
    </xf>
    <xf numFmtId="0" fontId="16" fillId="12" borderId="8" xfId="0" applyFont="1" applyFill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/>
    </xf>
    <xf numFmtId="10" fontId="14" fillId="12" borderId="3" xfId="2" applyNumberFormat="1" applyFont="1" applyFill="1" applyBorder="1" applyAlignment="1">
      <alignment horizontal="right"/>
    </xf>
    <xf numFmtId="0" fontId="3" fillId="9" borderId="3" xfId="0" applyFont="1" applyFill="1" applyBorder="1" applyAlignment="1">
      <alignment horizontal="center"/>
    </xf>
    <xf numFmtId="10" fontId="15" fillId="12" borderId="3" xfId="2" applyNumberFormat="1" applyFont="1" applyFill="1" applyBorder="1" applyAlignment="1">
      <alignment horizontal="right"/>
    </xf>
    <xf numFmtId="10" fontId="0" fillId="8" borderId="3" xfId="2" applyNumberFormat="1" applyFont="1" applyFill="1" applyBorder="1" applyAlignment="1">
      <alignment horizontal="right"/>
    </xf>
    <xf numFmtId="0" fontId="3" fillId="9" borderId="10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</cellXfs>
  <cellStyles count="4">
    <cellStyle name="Moneda" xfId="1" builtinId="4"/>
    <cellStyle name="Normal" xfId="0" builtinId="0"/>
    <cellStyle name="Porcentaje" xfId="2" builtinId="5"/>
    <cellStyle name="Título 3" xfId="3" builtinId="18"/>
  </cellStyles>
  <dxfs count="37">
    <dxf>
      <numFmt numFmtId="165" formatCode="&quot;$&quot;\ #,##0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&quot;$&quot;\ #,##0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</dxf>
    <dxf>
      <numFmt numFmtId="165" formatCode="&quot;$&quot;\ 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&quot;$&quot;\ 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&quot;$&quot;\ #,##0"/>
      <fill>
        <patternFill patternType="solid">
          <fgColor indexed="64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666666"/>
        </left>
        <right style="medium">
          <color rgb="FF666666"/>
        </right>
        <top/>
        <bottom style="medium">
          <color rgb="FF6666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&quot;$&quot;\ #,##0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rgb="FF6666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666666"/>
        </left>
        <right/>
        <top/>
        <bottom style="medium">
          <color rgb="FF6666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666666"/>
        </left>
        <right/>
        <top/>
        <bottom style="medium">
          <color rgb="FF6666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3" formatCode="0%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rgb="FF66666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rgb="FF666666"/>
        </left>
        <right/>
        <top/>
        <bottom style="medium">
          <color rgb="FF666666"/>
        </bottom>
      </border>
    </dxf>
    <dxf>
      <border outline="0">
        <top style="medium">
          <color rgb="FF8EA9DB"/>
        </top>
        <bottom style="medium">
          <color rgb="FF666666"/>
        </bottom>
      </border>
    </dxf>
    <dxf>
      <border outline="0">
        <bottom style="medium">
          <color rgb="FF8EA9DB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numFmt numFmtId="165" formatCode="&quot;$&quot;\ #,##0"/>
      <alignment horizontal="center" vertical="center" textRotation="0" wrapText="0" indent="0" justifyLastLine="0" shrinkToFit="0" readingOrder="0"/>
    </dxf>
    <dxf>
      <numFmt numFmtId="165" formatCode="&quot;$&quot;\ 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Mano de obra'!A1"/><Relationship Id="rId2" Type="http://schemas.openxmlformats.org/officeDocument/2006/relationships/hyperlink" Target="#'Materia prima'!A1"/><Relationship Id="rId1" Type="http://schemas.openxmlformats.org/officeDocument/2006/relationships/hyperlink" Target="#'Lista de precios'!A1"/><Relationship Id="rId4" Type="http://schemas.openxmlformats.org/officeDocument/2006/relationships/hyperlink" Target="#CIF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6_2">
  <dgm:title val=""/>
  <dgm:desc val=""/>
  <dgm:catLst>
    <dgm:cat type="accent6" pri="11200"/>
  </dgm:catLst>
  <dgm:styleLbl name="node0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6"/>
    </dgm:fillClrLst>
    <dgm:linClrLst meth="repeat">
      <a:schemeClr val="accent6"/>
    </dgm:linClrLst>
    <dgm:effectClrLst/>
    <dgm:txLinClrLst/>
    <dgm:txFillClrLst/>
    <dgm:txEffectClrLst/>
  </dgm:styleLbl>
  <dgm:styleLbl name="lnNode1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6"/>
    </dgm:fillClrLst>
    <dgm:linClrLst meth="repeat">
      <a:schemeClr val="accent6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6"/>
    </dgm:fillClrLst>
    <dgm:linClrLst meth="repeat">
      <a:schemeClr val="accent6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/>
    </dgm:fillClrLst>
    <dgm:linClrLst meth="repeat">
      <a:schemeClr val="accent6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/>
    </dgm:fillClrLst>
    <dgm:linClrLst meth="repeat">
      <a:schemeClr val="accent6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/>
    </dgm:fillClrLst>
    <dgm:linClrLst meth="repeat">
      <a:schemeClr val="accent6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6">
        <a:tint val="4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6">
        <a:shade val="80000"/>
      </a:schemeClr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6">
        <a:tint val="50000"/>
        <a:alpha val="40000"/>
      </a:schemeClr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6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2B46E439-D46E-4877-937A-248D32006B95}" type="doc">
      <dgm:prSet loTypeId="urn:microsoft.com/office/officeart/2005/8/layout/vList3" loCatId="list" qsTypeId="urn:microsoft.com/office/officeart/2005/8/quickstyle/3d2" qsCatId="3D" csTypeId="urn:microsoft.com/office/officeart/2005/8/colors/accent6_2" csCatId="accent6" phldr="1"/>
      <dgm:spPr/>
    </dgm:pt>
    <dgm:pt modelId="{4EB08603-C852-4A0C-8C62-A91AF4B96B1B}">
      <dgm:prSet phldrT="[Texto]"/>
      <dgm:spPr/>
      <dgm:t>
        <a:bodyPr/>
        <a:lstStyle/>
        <a:p>
          <a:r>
            <a:rPr lang="es-CO"/>
            <a:t>LISTA DE PRECIOS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2BA3A528-838D-450E-B49C-E6F732A6C668}" type="parTrans" cxnId="{20572808-2A92-4EE2-A394-95076A09F8DD}">
      <dgm:prSet/>
      <dgm:spPr/>
      <dgm:t>
        <a:bodyPr/>
        <a:lstStyle/>
        <a:p>
          <a:endParaRPr lang="es-CO"/>
        </a:p>
      </dgm:t>
    </dgm:pt>
    <dgm:pt modelId="{C7A3BB44-C538-487C-A828-E720C8405BAA}" type="sibTrans" cxnId="{20572808-2A92-4EE2-A394-95076A09F8DD}">
      <dgm:prSet/>
      <dgm:spPr/>
      <dgm:t>
        <a:bodyPr/>
        <a:lstStyle/>
        <a:p>
          <a:endParaRPr lang="es-CO"/>
        </a:p>
      </dgm:t>
    </dgm:pt>
    <dgm:pt modelId="{A4A8358F-F781-478F-884D-17960A4D2B9D}">
      <dgm:prSet phldrT="[Texto]"/>
      <dgm:spPr/>
      <dgm:t>
        <a:bodyPr/>
        <a:lstStyle/>
        <a:p>
          <a:r>
            <a:rPr lang="es-CO"/>
            <a:t>MATERIA PRIMA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A1FB73B4-42C2-46D1-A1E0-864B5B068E44}" type="parTrans" cxnId="{60762446-F527-4443-9152-B7235F729F49}">
      <dgm:prSet/>
      <dgm:spPr/>
      <dgm:t>
        <a:bodyPr/>
        <a:lstStyle/>
        <a:p>
          <a:endParaRPr lang="es-CO"/>
        </a:p>
      </dgm:t>
    </dgm:pt>
    <dgm:pt modelId="{F75CF5B4-F342-422B-A31E-5B63741C1BA7}" type="sibTrans" cxnId="{60762446-F527-4443-9152-B7235F729F49}">
      <dgm:prSet/>
      <dgm:spPr/>
      <dgm:t>
        <a:bodyPr/>
        <a:lstStyle/>
        <a:p>
          <a:endParaRPr lang="es-CO"/>
        </a:p>
      </dgm:t>
    </dgm:pt>
    <dgm:pt modelId="{0B8FB858-9871-449E-ACB1-AB1527BA1972}">
      <dgm:prSet phldrT="[Texto]"/>
      <dgm:spPr/>
      <dgm:t>
        <a:bodyPr/>
        <a:lstStyle/>
        <a:p>
          <a:r>
            <a:rPr lang="es-CO"/>
            <a:t>MANO DE OBRA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5E313E17-F1D6-454A-83D5-CDD6C7760FD9}" type="parTrans" cxnId="{C90E92B6-B4A1-49F3-8655-4B354510BD78}">
      <dgm:prSet/>
      <dgm:spPr/>
      <dgm:t>
        <a:bodyPr/>
        <a:lstStyle/>
        <a:p>
          <a:endParaRPr lang="es-CO"/>
        </a:p>
      </dgm:t>
    </dgm:pt>
    <dgm:pt modelId="{B134681C-D760-4514-8800-95095B343689}" type="sibTrans" cxnId="{C90E92B6-B4A1-49F3-8655-4B354510BD78}">
      <dgm:prSet/>
      <dgm:spPr/>
      <dgm:t>
        <a:bodyPr/>
        <a:lstStyle/>
        <a:p>
          <a:endParaRPr lang="es-CO"/>
        </a:p>
      </dgm:t>
    </dgm:pt>
    <dgm:pt modelId="{E92BFB0B-2693-4301-93F4-0D5814176170}">
      <dgm:prSet phldrT="[Texto]"/>
      <dgm:spPr/>
      <dgm:t>
        <a:bodyPr/>
        <a:lstStyle/>
        <a:p>
          <a:r>
            <a:rPr lang="es-CO"/>
            <a:t>GASTOS MENSUALES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F3CFA378-4869-43B1-A498-18AD5C51709A}" type="parTrans" cxnId="{8BD222F8-773B-443E-B46B-FEF405C3ADEB}">
      <dgm:prSet/>
      <dgm:spPr/>
      <dgm:t>
        <a:bodyPr/>
        <a:lstStyle/>
        <a:p>
          <a:endParaRPr lang="es-CO"/>
        </a:p>
      </dgm:t>
    </dgm:pt>
    <dgm:pt modelId="{BCB57675-1AE3-45A7-B6D4-AC9EE28AD1CA}" type="sibTrans" cxnId="{8BD222F8-773B-443E-B46B-FEF405C3ADEB}">
      <dgm:prSet/>
      <dgm:spPr/>
      <dgm:t>
        <a:bodyPr/>
        <a:lstStyle/>
        <a:p>
          <a:endParaRPr lang="es-CO"/>
        </a:p>
      </dgm:t>
    </dgm:pt>
    <dgm:pt modelId="{94455DC5-5E3C-44C1-B664-27BEDDE03745}" type="pres">
      <dgm:prSet presAssocID="{2B46E439-D46E-4877-937A-248D32006B95}" presName="linearFlow" presStyleCnt="0">
        <dgm:presLayoutVars>
          <dgm:dir/>
          <dgm:resizeHandles val="exact"/>
        </dgm:presLayoutVars>
      </dgm:prSet>
      <dgm:spPr/>
    </dgm:pt>
    <dgm:pt modelId="{FE3C2C3B-1EE3-441B-B7FE-7D68FD712F85}" type="pres">
      <dgm:prSet presAssocID="{4EB08603-C852-4A0C-8C62-A91AF4B96B1B}" presName="composite" presStyleCnt="0"/>
      <dgm:spPr/>
    </dgm:pt>
    <dgm:pt modelId="{608F45A9-1DA1-4498-824C-93F867D1E102}" type="pres">
      <dgm:prSet presAssocID="{4EB08603-C852-4A0C-8C62-A91AF4B96B1B}" presName="imgShp" presStyleLbl="fgImgPlace1" presStyleIdx="0" presStyleCnt="4" custLinFactNeighborX="-5061" custLinFactNeighborY="8435"/>
      <dgm:spPr>
        <a:solidFill>
          <a:schemeClr val="accent6">
            <a:lumMod val="60000"/>
            <a:lumOff val="40000"/>
          </a:schemeClr>
        </a:solidFill>
      </dgm:spPr>
    </dgm:pt>
    <dgm:pt modelId="{5969C39C-5E64-4951-B842-A606C38A02BD}" type="pres">
      <dgm:prSet presAssocID="{4EB08603-C852-4A0C-8C62-A91AF4B96B1B}" presName="txShp" presStyleLbl="node1" presStyleIdx="0" presStyleCnt="4">
        <dgm:presLayoutVars>
          <dgm:bulletEnabled val="1"/>
        </dgm:presLayoutVars>
      </dgm:prSet>
      <dgm:spPr/>
    </dgm:pt>
    <dgm:pt modelId="{11A66FD6-DB92-4668-9972-917E3B08B7DE}" type="pres">
      <dgm:prSet presAssocID="{C7A3BB44-C538-487C-A828-E720C8405BAA}" presName="spacing" presStyleCnt="0"/>
      <dgm:spPr/>
    </dgm:pt>
    <dgm:pt modelId="{613F17A9-3D8C-4052-96B1-4171A7C243F4}" type="pres">
      <dgm:prSet presAssocID="{A4A8358F-F781-478F-884D-17960A4D2B9D}" presName="composite" presStyleCnt="0"/>
      <dgm:spPr/>
    </dgm:pt>
    <dgm:pt modelId="{F4DC247A-97BF-4D97-A42D-63553C4648BB}" type="pres">
      <dgm:prSet presAssocID="{A4A8358F-F781-478F-884D-17960A4D2B9D}" presName="imgShp" presStyleLbl="fgImgPlace1" presStyleIdx="1" presStyleCnt="4"/>
      <dgm:spPr>
        <a:xfrm>
          <a:off x="781001" y="734586"/>
          <a:ext cx="564644" cy="564644"/>
        </a:xfrm>
        <a:prstGeom prst="ellipse">
          <a:avLst/>
        </a:prstGeom>
        <a:solidFill>
          <a:srgbClr val="70AD47">
            <a:lumMod val="60000"/>
            <a:lumOff val="40000"/>
          </a:srgbClr>
        </a:soli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matte">
          <a:bevelT w="50800" h="19050" prst="relaxedInset"/>
          <a:contourClr>
            <a:sysClr val="window" lastClr="FFFFFF"/>
          </a:contourClr>
        </a:sp3d>
      </dgm:spPr>
    </dgm:pt>
    <dgm:pt modelId="{212A8C4A-416E-4B33-98C6-4809CF4B3492}" type="pres">
      <dgm:prSet presAssocID="{A4A8358F-F781-478F-884D-17960A4D2B9D}" presName="txShp" presStyleLbl="node1" presStyleIdx="1" presStyleCnt="4">
        <dgm:presLayoutVars>
          <dgm:bulletEnabled val="1"/>
        </dgm:presLayoutVars>
      </dgm:prSet>
      <dgm:spPr/>
    </dgm:pt>
    <dgm:pt modelId="{40D3F40A-240B-430A-B4B7-6A76760F0F6F}" type="pres">
      <dgm:prSet presAssocID="{F75CF5B4-F342-422B-A31E-5B63741C1BA7}" presName="spacing" presStyleCnt="0"/>
      <dgm:spPr/>
    </dgm:pt>
    <dgm:pt modelId="{6161F886-625A-4F0C-809C-4C8E088F1060}" type="pres">
      <dgm:prSet presAssocID="{0B8FB858-9871-449E-ACB1-AB1527BA1972}" presName="composite" presStyleCnt="0"/>
      <dgm:spPr/>
    </dgm:pt>
    <dgm:pt modelId="{AAA9AD88-3DA5-4DF8-9310-3400F2732B23}" type="pres">
      <dgm:prSet presAssocID="{0B8FB858-9871-449E-ACB1-AB1527BA1972}" presName="imgShp" presStyleLbl="fgImgPlace1" presStyleIdx="2" presStyleCnt="4"/>
      <dgm:spPr>
        <a:xfrm>
          <a:off x="781001" y="1467781"/>
          <a:ext cx="564644" cy="564644"/>
        </a:xfrm>
        <a:prstGeom prst="ellipse">
          <a:avLst/>
        </a:prstGeom>
        <a:solidFill>
          <a:srgbClr val="70AD47">
            <a:lumMod val="60000"/>
            <a:lumOff val="40000"/>
          </a:srgbClr>
        </a:soli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matte">
          <a:bevelT w="50800" h="19050" prst="relaxedInset"/>
          <a:contourClr>
            <a:sysClr val="window" lastClr="FFFFFF"/>
          </a:contourClr>
        </a:sp3d>
      </dgm:spPr>
    </dgm:pt>
    <dgm:pt modelId="{8E886E95-461C-4E88-AC16-60EB9D18EB3D}" type="pres">
      <dgm:prSet presAssocID="{0B8FB858-9871-449E-ACB1-AB1527BA1972}" presName="txShp" presStyleLbl="node1" presStyleIdx="2" presStyleCnt="4">
        <dgm:presLayoutVars>
          <dgm:bulletEnabled val="1"/>
        </dgm:presLayoutVars>
      </dgm:prSet>
      <dgm:spPr/>
    </dgm:pt>
    <dgm:pt modelId="{E35F9776-CCAC-42C4-A550-D827167A563D}" type="pres">
      <dgm:prSet presAssocID="{B134681C-D760-4514-8800-95095B343689}" presName="spacing" presStyleCnt="0"/>
      <dgm:spPr/>
    </dgm:pt>
    <dgm:pt modelId="{C6AB3D4B-D528-44DA-98BC-EE67051F606A}" type="pres">
      <dgm:prSet presAssocID="{E92BFB0B-2693-4301-93F4-0D5814176170}" presName="composite" presStyleCnt="0"/>
      <dgm:spPr/>
    </dgm:pt>
    <dgm:pt modelId="{695D5FE1-71E9-4419-95FB-F7B48F55EFB7}" type="pres">
      <dgm:prSet presAssocID="{E92BFB0B-2693-4301-93F4-0D5814176170}" presName="imgShp" presStyleLbl="fgImgPlace1" presStyleIdx="3" presStyleCnt="4"/>
      <dgm:spPr>
        <a:xfrm>
          <a:off x="781001" y="2200977"/>
          <a:ext cx="564644" cy="564644"/>
        </a:xfrm>
        <a:prstGeom prst="ellipse">
          <a:avLst/>
        </a:prstGeom>
        <a:solidFill>
          <a:srgbClr val="70AD47">
            <a:lumMod val="60000"/>
            <a:lumOff val="40000"/>
          </a:srgbClr>
        </a:soli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matte">
          <a:bevelT w="50800" h="19050" prst="relaxedInset"/>
          <a:contourClr>
            <a:sysClr val="window" lastClr="FFFFFF"/>
          </a:contourClr>
        </a:sp3d>
      </dgm:spPr>
    </dgm:pt>
    <dgm:pt modelId="{10CA01FF-A44E-4B0F-9938-D53908DC5F4A}" type="pres">
      <dgm:prSet presAssocID="{E92BFB0B-2693-4301-93F4-0D5814176170}" presName="txShp" presStyleLbl="node1" presStyleIdx="3" presStyleCnt="4">
        <dgm:presLayoutVars>
          <dgm:bulletEnabled val="1"/>
        </dgm:presLayoutVars>
      </dgm:prSet>
      <dgm:spPr/>
    </dgm:pt>
  </dgm:ptLst>
  <dgm:cxnLst>
    <dgm:cxn modelId="{20572808-2A92-4EE2-A394-95076A09F8DD}" srcId="{2B46E439-D46E-4877-937A-248D32006B95}" destId="{4EB08603-C852-4A0C-8C62-A91AF4B96B1B}" srcOrd="0" destOrd="0" parTransId="{2BA3A528-838D-450E-B49C-E6F732A6C668}" sibTransId="{C7A3BB44-C538-487C-A828-E720C8405BAA}"/>
    <dgm:cxn modelId="{A2C8A13E-FB2A-452E-B3FF-628B4242B6E6}" type="presOf" srcId="{0B8FB858-9871-449E-ACB1-AB1527BA1972}" destId="{8E886E95-461C-4E88-AC16-60EB9D18EB3D}" srcOrd="0" destOrd="0" presId="urn:microsoft.com/office/officeart/2005/8/layout/vList3"/>
    <dgm:cxn modelId="{60762446-F527-4443-9152-B7235F729F49}" srcId="{2B46E439-D46E-4877-937A-248D32006B95}" destId="{A4A8358F-F781-478F-884D-17960A4D2B9D}" srcOrd="1" destOrd="0" parTransId="{A1FB73B4-42C2-46D1-A1E0-864B5B068E44}" sibTransId="{F75CF5B4-F342-422B-A31E-5B63741C1BA7}"/>
    <dgm:cxn modelId="{85163550-ABEC-460F-B326-2D078AB40A4E}" type="presOf" srcId="{E92BFB0B-2693-4301-93F4-0D5814176170}" destId="{10CA01FF-A44E-4B0F-9938-D53908DC5F4A}" srcOrd="0" destOrd="0" presId="urn:microsoft.com/office/officeart/2005/8/layout/vList3"/>
    <dgm:cxn modelId="{6D6AF49C-DF6E-4425-9154-E8BCA89CEB00}" type="presOf" srcId="{A4A8358F-F781-478F-884D-17960A4D2B9D}" destId="{212A8C4A-416E-4B33-98C6-4809CF4B3492}" srcOrd="0" destOrd="0" presId="urn:microsoft.com/office/officeart/2005/8/layout/vList3"/>
    <dgm:cxn modelId="{C90E92B6-B4A1-49F3-8655-4B354510BD78}" srcId="{2B46E439-D46E-4877-937A-248D32006B95}" destId="{0B8FB858-9871-449E-ACB1-AB1527BA1972}" srcOrd="2" destOrd="0" parTransId="{5E313E17-F1D6-454A-83D5-CDD6C7760FD9}" sibTransId="{B134681C-D760-4514-8800-95095B343689}"/>
    <dgm:cxn modelId="{B10CC4BA-F0A6-462B-BCDC-4FDDF4E09A66}" type="presOf" srcId="{4EB08603-C852-4A0C-8C62-A91AF4B96B1B}" destId="{5969C39C-5E64-4951-B842-A606C38A02BD}" srcOrd="0" destOrd="0" presId="urn:microsoft.com/office/officeart/2005/8/layout/vList3"/>
    <dgm:cxn modelId="{8BD222F8-773B-443E-B46B-FEF405C3ADEB}" srcId="{2B46E439-D46E-4877-937A-248D32006B95}" destId="{E92BFB0B-2693-4301-93F4-0D5814176170}" srcOrd="3" destOrd="0" parTransId="{F3CFA378-4869-43B1-A498-18AD5C51709A}" sibTransId="{BCB57675-1AE3-45A7-B6D4-AC9EE28AD1CA}"/>
    <dgm:cxn modelId="{079C1BFA-0C4A-4B6E-B6FF-E61A8C6428DA}" type="presOf" srcId="{2B46E439-D46E-4877-937A-248D32006B95}" destId="{94455DC5-5E3C-44C1-B664-27BEDDE03745}" srcOrd="0" destOrd="0" presId="urn:microsoft.com/office/officeart/2005/8/layout/vList3"/>
    <dgm:cxn modelId="{CA0C64CC-37CB-4C82-919D-DFC28CC60ADB}" type="presParOf" srcId="{94455DC5-5E3C-44C1-B664-27BEDDE03745}" destId="{FE3C2C3B-1EE3-441B-B7FE-7D68FD712F85}" srcOrd="0" destOrd="0" presId="urn:microsoft.com/office/officeart/2005/8/layout/vList3"/>
    <dgm:cxn modelId="{DBB61D53-8397-4B0F-8F66-5D01CB1147C9}" type="presParOf" srcId="{FE3C2C3B-1EE3-441B-B7FE-7D68FD712F85}" destId="{608F45A9-1DA1-4498-824C-93F867D1E102}" srcOrd="0" destOrd="0" presId="urn:microsoft.com/office/officeart/2005/8/layout/vList3"/>
    <dgm:cxn modelId="{9A0F9F38-E6D2-4C74-98CA-B7D4BA7FC566}" type="presParOf" srcId="{FE3C2C3B-1EE3-441B-B7FE-7D68FD712F85}" destId="{5969C39C-5E64-4951-B842-A606C38A02BD}" srcOrd="1" destOrd="0" presId="urn:microsoft.com/office/officeart/2005/8/layout/vList3"/>
    <dgm:cxn modelId="{8AF529D6-E680-46E3-975A-9656D09CD5B1}" type="presParOf" srcId="{94455DC5-5E3C-44C1-B664-27BEDDE03745}" destId="{11A66FD6-DB92-4668-9972-917E3B08B7DE}" srcOrd="1" destOrd="0" presId="urn:microsoft.com/office/officeart/2005/8/layout/vList3"/>
    <dgm:cxn modelId="{8A69A6FE-CCE3-42C2-BD69-A2D25C3C898F}" type="presParOf" srcId="{94455DC5-5E3C-44C1-B664-27BEDDE03745}" destId="{613F17A9-3D8C-4052-96B1-4171A7C243F4}" srcOrd="2" destOrd="0" presId="urn:microsoft.com/office/officeart/2005/8/layout/vList3"/>
    <dgm:cxn modelId="{946F967E-A6BB-4E5E-BA32-61C64DAE8F9E}" type="presParOf" srcId="{613F17A9-3D8C-4052-96B1-4171A7C243F4}" destId="{F4DC247A-97BF-4D97-A42D-63553C4648BB}" srcOrd="0" destOrd="0" presId="urn:microsoft.com/office/officeart/2005/8/layout/vList3"/>
    <dgm:cxn modelId="{4509257A-CEE1-4EC0-ACB9-12402C20537F}" type="presParOf" srcId="{613F17A9-3D8C-4052-96B1-4171A7C243F4}" destId="{212A8C4A-416E-4B33-98C6-4809CF4B3492}" srcOrd="1" destOrd="0" presId="urn:microsoft.com/office/officeart/2005/8/layout/vList3"/>
    <dgm:cxn modelId="{FE9BC4B9-AE20-4B6B-B3C3-FE132AA7D82C}" type="presParOf" srcId="{94455DC5-5E3C-44C1-B664-27BEDDE03745}" destId="{40D3F40A-240B-430A-B4B7-6A76760F0F6F}" srcOrd="3" destOrd="0" presId="urn:microsoft.com/office/officeart/2005/8/layout/vList3"/>
    <dgm:cxn modelId="{E40D0C33-7897-42D4-B2C7-EF2030CEBC03}" type="presParOf" srcId="{94455DC5-5E3C-44C1-B664-27BEDDE03745}" destId="{6161F886-625A-4F0C-809C-4C8E088F1060}" srcOrd="4" destOrd="0" presId="urn:microsoft.com/office/officeart/2005/8/layout/vList3"/>
    <dgm:cxn modelId="{FE12B98D-3663-4637-BDE6-7DFE0326BFAE}" type="presParOf" srcId="{6161F886-625A-4F0C-809C-4C8E088F1060}" destId="{AAA9AD88-3DA5-4DF8-9310-3400F2732B23}" srcOrd="0" destOrd="0" presId="urn:microsoft.com/office/officeart/2005/8/layout/vList3"/>
    <dgm:cxn modelId="{EBD7250F-5D99-4283-AA00-77C0A7C660F0}" type="presParOf" srcId="{6161F886-625A-4F0C-809C-4C8E088F1060}" destId="{8E886E95-461C-4E88-AC16-60EB9D18EB3D}" srcOrd="1" destOrd="0" presId="urn:microsoft.com/office/officeart/2005/8/layout/vList3"/>
    <dgm:cxn modelId="{F330BC07-1279-44E9-9FCA-543BA1E0FA80}" type="presParOf" srcId="{94455DC5-5E3C-44C1-B664-27BEDDE03745}" destId="{E35F9776-CCAC-42C4-A550-D827167A563D}" srcOrd="5" destOrd="0" presId="urn:microsoft.com/office/officeart/2005/8/layout/vList3"/>
    <dgm:cxn modelId="{742C5200-76B5-4C54-9C7C-F7C083DCC6D0}" type="presParOf" srcId="{94455DC5-5E3C-44C1-B664-27BEDDE03745}" destId="{C6AB3D4B-D528-44DA-98BC-EE67051F606A}" srcOrd="6" destOrd="0" presId="urn:microsoft.com/office/officeart/2005/8/layout/vList3"/>
    <dgm:cxn modelId="{E4805B92-F3FA-4952-8A80-1478DF393DB2}" type="presParOf" srcId="{C6AB3D4B-D528-44DA-98BC-EE67051F606A}" destId="{695D5FE1-71E9-4419-95FB-F7B48F55EFB7}" srcOrd="0" destOrd="0" presId="urn:microsoft.com/office/officeart/2005/8/layout/vList3"/>
    <dgm:cxn modelId="{0C7CF4B3-8703-4F76-A18D-91F2914B8092}" type="presParOf" srcId="{C6AB3D4B-D528-44DA-98BC-EE67051F606A}" destId="{10CA01FF-A44E-4B0F-9938-D53908DC5F4A}" srcOrd="1" destOrd="0" presId="urn:microsoft.com/office/officeart/2005/8/layout/vList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969C39C-5E64-4951-B842-A606C38A02BD}">
      <dsp:nvSpPr>
        <dsp:cNvPr id="0" name=""/>
        <dsp:cNvSpPr/>
      </dsp:nvSpPr>
      <dsp:spPr>
        <a:xfrm rot="10800000">
          <a:off x="1063324" y="1391"/>
          <a:ext cx="3661124" cy="564644"/>
        </a:xfrm>
        <a:prstGeom prst="homePlate">
          <a:avLst/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48993" tIns="99060" rIns="184912" bIns="99060" numCol="1" spcCol="1270" anchor="ctr" anchorCtr="0">
          <a:noAutofit/>
        </a:bodyPr>
        <a:lstStyle/>
        <a:p>
          <a:pPr marL="0" lvl="0" indent="0" algn="ctr" defTabSz="1155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2600" kern="1200"/>
            <a:t>LISTA DE PRECIOS</a:t>
          </a:r>
        </a:p>
      </dsp:txBody>
      <dsp:txXfrm rot="10800000">
        <a:off x="1204485" y="1391"/>
        <a:ext cx="3519963" cy="564644"/>
      </dsp:txXfrm>
    </dsp:sp>
    <dsp:sp modelId="{608F45A9-1DA1-4498-824C-93F867D1E102}">
      <dsp:nvSpPr>
        <dsp:cNvPr id="0" name=""/>
        <dsp:cNvSpPr/>
      </dsp:nvSpPr>
      <dsp:spPr>
        <a:xfrm>
          <a:off x="752425" y="49019"/>
          <a:ext cx="564644" cy="564644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matte">
          <a:bevelT w="50800" h="19050" prst="relaxedInset"/>
          <a:contourClr>
            <a:schemeClr val="bg1"/>
          </a:contourClr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212A8C4A-416E-4B33-98C6-4809CF4B3492}">
      <dsp:nvSpPr>
        <dsp:cNvPr id="0" name=""/>
        <dsp:cNvSpPr/>
      </dsp:nvSpPr>
      <dsp:spPr>
        <a:xfrm rot="10800000">
          <a:off x="1063324" y="734586"/>
          <a:ext cx="3661124" cy="564644"/>
        </a:xfrm>
        <a:prstGeom prst="homePlate">
          <a:avLst/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48993" tIns="99060" rIns="184912" bIns="99060" numCol="1" spcCol="1270" anchor="ctr" anchorCtr="0">
          <a:noAutofit/>
        </a:bodyPr>
        <a:lstStyle/>
        <a:p>
          <a:pPr marL="0" lvl="0" indent="0" algn="ctr" defTabSz="1155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2600" kern="1200"/>
            <a:t>MATERIA PRIMA</a:t>
          </a:r>
        </a:p>
      </dsp:txBody>
      <dsp:txXfrm rot="10800000">
        <a:off x="1204485" y="734586"/>
        <a:ext cx="3519963" cy="564644"/>
      </dsp:txXfrm>
    </dsp:sp>
    <dsp:sp modelId="{F4DC247A-97BF-4D97-A42D-63553C4648BB}">
      <dsp:nvSpPr>
        <dsp:cNvPr id="0" name=""/>
        <dsp:cNvSpPr/>
      </dsp:nvSpPr>
      <dsp:spPr>
        <a:xfrm>
          <a:off x="781001" y="734586"/>
          <a:ext cx="564644" cy="564644"/>
        </a:xfrm>
        <a:prstGeom prst="ellipse">
          <a:avLst/>
        </a:prstGeom>
        <a:solidFill>
          <a:srgbClr val="70AD47">
            <a:lumMod val="60000"/>
            <a:lumOff val="40000"/>
          </a:srgbClr>
        </a:soli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matte">
          <a:bevelT w="50800" h="19050" prst="relaxedInset"/>
          <a:contourClr>
            <a:sysClr val="window" lastClr="FFFFFF"/>
          </a:contourClr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8E886E95-461C-4E88-AC16-60EB9D18EB3D}">
      <dsp:nvSpPr>
        <dsp:cNvPr id="0" name=""/>
        <dsp:cNvSpPr/>
      </dsp:nvSpPr>
      <dsp:spPr>
        <a:xfrm rot="10800000">
          <a:off x="1063324" y="1467781"/>
          <a:ext cx="3661124" cy="564644"/>
        </a:xfrm>
        <a:prstGeom prst="homePlate">
          <a:avLst/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48993" tIns="99060" rIns="184912" bIns="99060" numCol="1" spcCol="1270" anchor="ctr" anchorCtr="0">
          <a:noAutofit/>
        </a:bodyPr>
        <a:lstStyle/>
        <a:p>
          <a:pPr marL="0" lvl="0" indent="0" algn="ctr" defTabSz="1155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2600" kern="1200"/>
            <a:t>MANO DE OBRA</a:t>
          </a:r>
        </a:p>
      </dsp:txBody>
      <dsp:txXfrm rot="10800000">
        <a:off x="1204485" y="1467781"/>
        <a:ext cx="3519963" cy="564644"/>
      </dsp:txXfrm>
    </dsp:sp>
    <dsp:sp modelId="{AAA9AD88-3DA5-4DF8-9310-3400F2732B23}">
      <dsp:nvSpPr>
        <dsp:cNvPr id="0" name=""/>
        <dsp:cNvSpPr/>
      </dsp:nvSpPr>
      <dsp:spPr>
        <a:xfrm>
          <a:off x="781001" y="1467781"/>
          <a:ext cx="564644" cy="564644"/>
        </a:xfrm>
        <a:prstGeom prst="ellipse">
          <a:avLst/>
        </a:prstGeom>
        <a:solidFill>
          <a:srgbClr val="70AD47">
            <a:lumMod val="60000"/>
            <a:lumOff val="40000"/>
          </a:srgbClr>
        </a:soli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matte">
          <a:bevelT w="50800" h="19050" prst="relaxedInset"/>
          <a:contourClr>
            <a:sysClr val="window" lastClr="FFFFFF"/>
          </a:contourClr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10CA01FF-A44E-4B0F-9938-D53908DC5F4A}">
      <dsp:nvSpPr>
        <dsp:cNvPr id="0" name=""/>
        <dsp:cNvSpPr/>
      </dsp:nvSpPr>
      <dsp:spPr>
        <a:xfrm rot="10800000">
          <a:off x="1063324" y="2200977"/>
          <a:ext cx="3661124" cy="564644"/>
        </a:xfrm>
        <a:prstGeom prst="homePlate">
          <a:avLst/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48993" tIns="99060" rIns="184912" bIns="99060" numCol="1" spcCol="1270" anchor="ctr" anchorCtr="0">
          <a:noAutofit/>
        </a:bodyPr>
        <a:lstStyle/>
        <a:p>
          <a:pPr marL="0" lvl="0" indent="0" algn="ctr" defTabSz="1155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2600" kern="1200"/>
            <a:t>GASTOS MENSUALES</a:t>
          </a:r>
        </a:p>
      </dsp:txBody>
      <dsp:txXfrm rot="10800000">
        <a:off x="1204485" y="2200977"/>
        <a:ext cx="3519963" cy="564644"/>
      </dsp:txXfrm>
    </dsp:sp>
    <dsp:sp modelId="{695D5FE1-71E9-4419-95FB-F7B48F55EFB7}">
      <dsp:nvSpPr>
        <dsp:cNvPr id="0" name=""/>
        <dsp:cNvSpPr/>
      </dsp:nvSpPr>
      <dsp:spPr>
        <a:xfrm>
          <a:off x="781001" y="2200977"/>
          <a:ext cx="564644" cy="564644"/>
        </a:xfrm>
        <a:prstGeom prst="ellipse">
          <a:avLst/>
        </a:prstGeom>
        <a:solidFill>
          <a:srgbClr val="70AD47">
            <a:lumMod val="60000"/>
            <a:lumOff val="40000"/>
          </a:srgbClr>
        </a:soli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matte">
          <a:bevelT w="50800" h="19050" prst="relaxedInset"/>
          <a:contourClr>
            <a:sysClr val="window" lastClr="FFFFFF"/>
          </a:contourClr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List3">
  <dgm:title val=""/>
  <dgm:desc val=""/>
  <dgm:catLst>
    <dgm:cat type="list" pri="14000"/>
    <dgm:cat type="convert" pri="3000"/>
    <dgm:cat type="picture" pri="27000"/>
    <dgm:cat type="pictureconvert" pri="27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Flow">
    <dgm:varLst>
      <dgm:dir/>
      <dgm:resizeHandles val="exact"/>
    </dgm:varLst>
    <dgm:alg type="lin">
      <dgm:param type="linDir" val="fromT"/>
      <dgm:param type="vertAlign" val="mid"/>
      <dgm:param type="horzAlign" val="ctr"/>
    </dgm:alg>
    <dgm:shape xmlns:r="http://schemas.openxmlformats.org/officeDocument/2006/relationships" r:blip="">
      <dgm:adjLst/>
    </dgm:shape>
    <dgm:presOf/>
    <dgm:constrLst>
      <dgm:constr type="w" for="ch" forName="composite" refType="w"/>
      <dgm:constr type="h" for="ch" forName="composite" refType="h"/>
      <dgm:constr type="h" for="ch" forName="spacing" refType="h" refFor="ch" refForName="composite" fact="0.25"/>
      <dgm:constr type="h" for="ch" forName="spacing" refType="w" op="lte" fact="0.1"/>
      <dgm:constr type="primFontSz" for="des" ptType="node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w" for="ch" forName="imgShp" refType="w" fact="0.335"/>
              <dgm:constr type="h" for="ch" forName="imgShp" refType="w" refFor="ch" refForName="imgShp" op="equ"/>
              <dgm:constr type="h" for="ch" forName="imgShp" refType="h" op="lte"/>
              <dgm:constr type="ctrY" for="ch" forName="imgShp" refType="h" fact="0.5"/>
              <dgm:constr type="l" for="ch" forName="imgShp"/>
              <dgm:constr type="w" for="ch" forName="txShp" refType="w" op="equ" fact="0.665"/>
              <dgm:constr type="h" for="ch" forName="txShp" refType="h" refFor="ch" refForName="imgShp" op="equ"/>
              <dgm:constr type="ctrY" for="ch" forName="txShp" refType="h" fact="0.5"/>
              <dgm:constr type="l" for="ch" forName="txShp" refType="w" refFor="ch" refForName="imgShp" fact="0.5"/>
              <dgm:constr type="lMarg" for="ch" forName="txShp" refType="w" refFor="ch" refForName="imgShp" fact="1.25"/>
            </dgm:constrLst>
          </dgm:if>
          <dgm:else name="Name3">
            <dgm:constrLst>
              <dgm:constr type="w" for="ch" forName="imgShp" refType="w" fact="0.335"/>
              <dgm:constr type="h" for="ch" forName="imgShp" refType="w" refFor="ch" refForName="imgShp" op="equ"/>
              <dgm:constr type="h" for="ch" forName="imgShp" refType="h" op="lte"/>
              <dgm:constr type="ctrY" for="ch" forName="imgShp" refType="h" fact="0.5"/>
              <dgm:constr type="r" for="ch" forName="imgShp" refType="w"/>
              <dgm:constr type="w" for="ch" forName="txShp" refType="w" op="equ" fact="0.665"/>
              <dgm:constr type="h" for="ch" forName="txShp" refType="h" refFor="ch" refForName="imgShp" op="equ"/>
              <dgm:constr type="ctrY" for="ch" forName="txShp" refType="h" fact="0.5"/>
              <dgm:constr type="r" for="ch" forName="txShp" refType="ctrX" refFor="ch" refForName="imgShp"/>
              <dgm:constr type="rMarg" for="ch" forName="txShp" refType="w" refFor="ch" refForName="imgShp" fact="1.25"/>
            </dgm:constrLst>
          </dgm:else>
        </dgm:choose>
        <dgm:ruleLst/>
        <dgm:layoutNode name="imgShp" styleLbl="fgImgPlace1">
          <dgm:alg type="sp"/>
          <dgm:shape xmlns:r="http://schemas.openxmlformats.org/officeDocument/2006/relationships" type="ellipse" r:blip="" blipPhldr="1">
            <dgm:adjLst/>
          </dgm:shape>
          <dgm:presOf/>
          <dgm:constrLst/>
          <dgm:ruleLst/>
        </dgm:layoutNode>
        <dgm:layoutNode name="txShp">
          <dgm:varLst>
            <dgm:bulletEnabled val="1"/>
          </dgm:varLst>
          <dgm:alg type="tx"/>
          <dgm:choose name="Name4">
            <dgm:if name="Name5" func="var" arg="dir" op="equ" val="norm">
              <dgm:shape xmlns:r="http://schemas.openxmlformats.org/officeDocument/2006/relationships" rot="180" type="homePlate" r:blip="" zOrderOff="-1">
                <dgm:adjLst/>
              </dgm:shape>
            </dgm:if>
            <dgm:else name="Name6">
              <dgm:shape xmlns:r="http://schemas.openxmlformats.org/officeDocument/2006/relationships" type="homePlate" r:blip="" zOrderOff="-1">
                <dgm:adjLst/>
              </dgm:shape>
            </dgm:else>
          </dgm:choose>
          <dgm:presOf axis="desOrSelf" ptType="node"/>
          <dgm:constrLst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</dgm:layoutNode>
      <dgm:forEach name="Name7" axis="followSib" ptType="sibTrans" cnt="1">
        <dgm:layoutNode name="spacing">
          <dgm:alg type="sp"/>
          <dgm:shape xmlns:r="http://schemas.openxmlformats.org/officeDocument/2006/relationships" r:blip="">
            <dgm:adjLst/>
          </dgm:shape>
          <dgm:presOf axis="self"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hyperlink" Target="#RESULTADOS!A1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1</xdr:row>
      <xdr:rowOff>166687</xdr:rowOff>
    </xdr:from>
    <xdr:to>
      <xdr:col>8</xdr:col>
      <xdr:colOff>123825</xdr:colOff>
      <xdr:row>16</xdr:row>
      <xdr:rowOff>76200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F8F75942-890F-3391-1E2E-292F77502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9</xdr:col>
      <xdr:colOff>552450</xdr:colOff>
      <xdr:row>5</xdr:row>
      <xdr:rowOff>38100</xdr:rowOff>
    </xdr:from>
    <xdr:to>
      <xdr:col>12</xdr:col>
      <xdr:colOff>152400</xdr:colOff>
      <xdr:row>7</xdr:row>
      <xdr:rowOff>114300</xdr:rowOff>
    </xdr:to>
    <xdr:sp macro="" textlink="">
      <xdr:nvSpPr>
        <xdr:cNvPr id="3" name="Rectángulo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5C078FD-6D22-7D4D-9675-A6018D5432BC}"/>
            </a:ext>
          </a:extLst>
        </xdr:cNvPr>
        <xdr:cNvSpPr/>
      </xdr:nvSpPr>
      <xdr:spPr>
        <a:xfrm>
          <a:off x="7410450" y="990600"/>
          <a:ext cx="1885950" cy="457200"/>
        </a:xfrm>
        <a:prstGeom prst="rect">
          <a:avLst/>
        </a:prstGeom>
        <a:solidFill>
          <a:schemeClr val="accent2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600" b="1">
              <a:solidFill>
                <a:sysClr val="windowText" lastClr="000000"/>
              </a:solidFill>
            </a:rPr>
            <a:t>COSTO TOTAL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0</xdr:rowOff>
    </xdr:from>
    <xdr:to>
      <xdr:col>8</xdr:col>
      <xdr:colOff>276225</xdr:colOff>
      <xdr:row>1</xdr:row>
      <xdr:rowOff>311959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5B5582E-7FD5-8599-E19C-C1C0FCBD4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0"/>
          <a:ext cx="1790700" cy="769159"/>
        </a:xfrm>
        <a:prstGeom prst="rect">
          <a:avLst/>
        </a:prstGeom>
      </xdr:spPr>
    </xdr:pic>
    <xdr:clientData/>
  </xdr:twoCellAnchor>
  <xdr:twoCellAnchor editAs="oneCell">
    <xdr:from>
      <xdr:col>0</xdr:col>
      <xdr:colOff>1781176</xdr:colOff>
      <xdr:row>0</xdr:row>
      <xdr:rowOff>1</xdr:rowOff>
    </xdr:from>
    <xdr:to>
      <xdr:col>6</xdr:col>
      <xdr:colOff>9526</xdr:colOff>
      <xdr:row>2</xdr:row>
      <xdr:rowOff>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D25DE0A6-4669-420F-AD22-2B9D31C6396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6" y="1"/>
          <a:ext cx="561975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6</xdr:row>
      <xdr:rowOff>57150</xdr:rowOff>
    </xdr:from>
    <xdr:to>
      <xdr:col>0</xdr:col>
      <xdr:colOff>1581150</xdr:colOff>
      <xdr:row>9</xdr:row>
      <xdr:rowOff>152783</xdr:rowOff>
    </xdr:to>
    <xdr:sp macro="" textlink="">
      <xdr:nvSpPr>
        <xdr:cNvPr id="2" name="Flecha: a la derecha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5C2EC7D-94E6-04B5-80EF-00CBC2E38DE6}"/>
            </a:ext>
          </a:extLst>
        </xdr:cNvPr>
        <xdr:cNvSpPr/>
      </xdr:nvSpPr>
      <xdr:spPr>
        <a:xfrm flipH="1">
          <a:off x="266700" y="1876425"/>
          <a:ext cx="1314450" cy="667133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200" b="1">
              <a:solidFill>
                <a:sysClr val="windowText" lastClr="000000"/>
              </a:solidFill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6</xdr:row>
      <xdr:rowOff>76200</xdr:rowOff>
    </xdr:from>
    <xdr:to>
      <xdr:col>0</xdr:col>
      <xdr:colOff>1428750</xdr:colOff>
      <xdr:row>7</xdr:row>
      <xdr:rowOff>323850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76C572-1AB1-4753-9FCF-52B4FEDC0F95}"/>
            </a:ext>
          </a:extLst>
        </xdr:cNvPr>
        <xdr:cNvSpPr/>
      </xdr:nvSpPr>
      <xdr:spPr>
        <a:xfrm flipH="1">
          <a:off x="428625" y="1276350"/>
          <a:ext cx="1000125" cy="438150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200" b="1">
              <a:solidFill>
                <a:sysClr val="windowText" lastClr="000000"/>
              </a:solidFill>
            </a:rPr>
            <a:t>INICIO</a:t>
          </a:r>
        </a:p>
      </xdr:txBody>
    </xdr:sp>
    <xdr:clientData/>
  </xdr:twoCellAnchor>
  <xdr:twoCellAnchor editAs="oneCell">
    <xdr:from>
      <xdr:col>7</xdr:col>
      <xdr:colOff>57150</xdr:colOff>
      <xdr:row>0</xdr:row>
      <xdr:rowOff>0</xdr:rowOff>
    </xdr:from>
    <xdr:to>
      <xdr:col>9</xdr:col>
      <xdr:colOff>314326</xdr:colOff>
      <xdr:row>2</xdr:row>
      <xdr:rowOff>384068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662065-3243-4E30-8C3B-0AAE4B1C5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0"/>
          <a:ext cx="1781176" cy="765068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0</xdr:row>
      <xdr:rowOff>0</xdr:rowOff>
    </xdr:from>
    <xdr:to>
      <xdr:col>7</xdr:col>
      <xdr:colOff>38099</xdr:colOff>
      <xdr:row>2</xdr:row>
      <xdr:rowOff>390524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2C4D2008-8F2D-41A8-829B-F7578454700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4" y="0"/>
          <a:ext cx="6372225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104776</xdr:rowOff>
    </xdr:from>
    <xdr:to>
      <xdr:col>0</xdr:col>
      <xdr:colOff>1619249</xdr:colOff>
      <xdr:row>6</xdr:row>
      <xdr:rowOff>361951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554CDA-ED0F-489E-8D50-CDDDE3F066E2}"/>
            </a:ext>
          </a:extLst>
        </xdr:cNvPr>
        <xdr:cNvSpPr/>
      </xdr:nvSpPr>
      <xdr:spPr>
        <a:xfrm flipH="1">
          <a:off x="561974" y="1685926"/>
          <a:ext cx="1057275" cy="495300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200" b="1">
              <a:solidFill>
                <a:sysClr val="windowText" lastClr="000000"/>
              </a:solidFill>
            </a:rPr>
            <a:t>INICIO</a:t>
          </a:r>
        </a:p>
      </xdr:txBody>
    </xdr:sp>
    <xdr:clientData/>
  </xdr:twoCellAnchor>
  <xdr:twoCellAnchor editAs="oneCell">
    <xdr:from>
      <xdr:col>0</xdr:col>
      <xdr:colOff>508099</xdr:colOff>
      <xdr:row>0</xdr:row>
      <xdr:rowOff>66675</xdr:rowOff>
    </xdr:from>
    <xdr:to>
      <xdr:col>0</xdr:col>
      <xdr:colOff>1971675</xdr:colOff>
      <xdr:row>0</xdr:row>
      <xdr:rowOff>695325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F675F5-C316-4511-8B4C-C8CC4F45D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99" y="66675"/>
          <a:ext cx="1463576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1990724</xdr:colOff>
      <xdr:row>0</xdr:row>
      <xdr:rowOff>28574</xdr:rowOff>
    </xdr:from>
    <xdr:to>
      <xdr:col>6</xdr:col>
      <xdr:colOff>990599</xdr:colOff>
      <xdr:row>0</xdr:row>
      <xdr:rowOff>819149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30DBD328-6ADA-4047-8F60-31B6E9F2588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4" y="28574"/>
          <a:ext cx="58769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123825</xdr:rowOff>
    </xdr:from>
    <xdr:to>
      <xdr:col>1</xdr:col>
      <xdr:colOff>523876</xdr:colOff>
      <xdr:row>5</xdr:row>
      <xdr:rowOff>171450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826C5B-EB5E-4616-BF01-401F0B467E3B}"/>
            </a:ext>
          </a:extLst>
        </xdr:cNvPr>
        <xdr:cNvSpPr/>
      </xdr:nvSpPr>
      <xdr:spPr>
        <a:xfrm flipH="1">
          <a:off x="419100" y="1085850"/>
          <a:ext cx="866776" cy="428625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200" b="1">
              <a:solidFill>
                <a:sysClr val="windowText" lastClr="000000"/>
              </a:solidFill>
            </a:rPr>
            <a:t>INICIO</a:t>
          </a:r>
        </a:p>
      </xdr:txBody>
    </xdr:sp>
    <xdr:clientData/>
  </xdr:twoCellAnchor>
  <xdr:twoCellAnchor editAs="oneCell">
    <xdr:from>
      <xdr:col>2</xdr:col>
      <xdr:colOff>0</xdr:colOff>
      <xdr:row>0</xdr:row>
      <xdr:rowOff>1</xdr:rowOff>
    </xdr:from>
    <xdr:to>
      <xdr:col>8</xdr:col>
      <xdr:colOff>19050</xdr:colOff>
      <xdr:row>1</xdr:row>
      <xdr:rowOff>9526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306ACE-C0BC-4E20-99A1-866AA7CABB1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"/>
          <a:ext cx="78771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2</xdr:row>
      <xdr:rowOff>152400</xdr:rowOff>
    </xdr:from>
    <xdr:to>
      <xdr:col>3</xdr:col>
      <xdr:colOff>1504951</xdr:colOff>
      <xdr:row>4</xdr:row>
      <xdr:rowOff>0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FDA6D2-48AE-43CE-9886-BF7551C7B43D}"/>
            </a:ext>
          </a:extLst>
        </xdr:cNvPr>
        <xdr:cNvSpPr/>
      </xdr:nvSpPr>
      <xdr:spPr>
        <a:xfrm flipH="1">
          <a:off x="4267200" y="533400"/>
          <a:ext cx="866776" cy="438150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200" b="1">
              <a:solidFill>
                <a:sysClr val="windowText" lastClr="000000"/>
              </a:solidFill>
            </a:rPr>
            <a:t>INICIO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7122DC-0975-49AC-843F-F129E1DFF48C}" name="Listadeprecios" displayName="Listadeprecios" ref="B4:F15" insertRowShift="1" totalsRowShown="0" headerRowDxfId="36" dataDxfId="35">
  <tableColumns count="5">
    <tableColumn id="1" xr3:uid="{98FEEFC9-3218-4F65-9226-6893E1632670}" name="PRODUCTO" dataDxfId="34"/>
    <tableColumn id="2" xr3:uid="{BCA2C837-27B9-4A6A-B112-E4FB379A340C}" name="MEDIDA" dataDxfId="33"/>
    <tableColumn id="3" xr3:uid="{7641BBA6-BABA-4E1E-A0CF-D3CB66B6DD48}" name="CANT" dataDxfId="32"/>
    <tableColumn id="5" xr3:uid="{9EFE5654-C98A-4BFB-ACA9-7E5F0478FE55}" name="VALOR" dataDxfId="31"/>
    <tableColumn id="4" xr3:uid="{6CEEC600-FA03-4A73-9594-2878A5A9FC50}" name="VLR UNIT" dataDxfId="30">
      <calculatedColumnFormula>IFERROR(Listadeprecios[[#This Row],[VALOR]]/Listadeprecios[[#This Row],[CANT]]," ")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13F868-C357-4680-A0C3-718D25DF8EFA}" name="materiaprima" displayName="materiaprima" ref="B8:G17" totalsRowShown="0" headerRowDxfId="29" headerRowBorderDxfId="28" tableBorderDxfId="27">
  <tableColumns count="6">
    <tableColumn id="1" xr3:uid="{C1295B5C-1B97-4499-969C-D069190EB62C}" name="INGREDIENTE" dataDxfId="26"/>
    <tableColumn id="2" xr3:uid="{0D77A946-F7B6-43AB-A826-82079BA1C2FF}" name="FORMULA" dataDxfId="25" dataCellStyle="Porcentaje">
      <calculatedColumnFormula>IFERROR(materiaprima[[#This Row],[CANTIDAD]]/$D$6," ")</calculatedColumnFormula>
    </tableColumn>
    <tableColumn id="3" xr3:uid="{FA9D7A85-E5FF-47CD-A464-3D2453A5182C}" name="UNID. MED" dataDxfId="24">
      <calculatedColumnFormula>IFERROR(VLOOKUP(materiaprima[[#This Row],[INGREDIENTE]],Listadeprecios[],2,FALSE)," ")</calculatedColumnFormula>
    </tableColumn>
    <tableColumn id="4" xr3:uid="{C9AB9BAD-A475-424C-90FD-D3D0F668EFCE}" name="CANTIDAD" dataDxfId="23"/>
    <tableColumn id="5" xr3:uid="{CA7F5F52-BC15-4A15-B872-3BF15BEAD9FF}" name="VLR UNIT" dataDxfId="22">
      <calculatedColumnFormula>IFERROR(VLOOKUP(materiaprima[[#This Row],[INGREDIENTE]],Listadeprecios[],5,FALSE)," ")</calculatedColumnFormula>
    </tableColumn>
    <tableColumn id="6" xr3:uid="{3AF9CBAC-7666-4254-962D-98A5405658B2}" name="VLR TOTAL" dataDxfId="21">
      <calculatedColumnFormula>IFERROR(materiaprima[[#This Row],[VLR UNIT]]*materiaprima[[#This Row],[CANTIDAD]]," ")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8D2F29-FFC0-49CF-B5ED-71B70E1DA858}" name="Tabla3" displayName="Tabla3" ref="B7:G10" totalsRowShown="0" headerRowDxfId="20" dataDxfId="19">
  <tableColumns count="6">
    <tableColumn id="1" xr3:uid="{322DE2DF-4F61-4823-B6D0-C1E3E5E54DDD}" name="PROCESO" dataDxfId="18"/>
    <tableColumn id="2" xr3:uid="{FE4BA456-C9F6-459E-ACB3-8124A4EBC40A}" name="MEDIDA DE TIEMPO" dataDxfId="17"/>
    <tableColumn id="3" xr3:uid="{CD923905-1832-4992-8C0E-0A18E75FA235}" name="TIEMPO" dataDxfId="16"/>
    <tableColumn id="6" xr3:uid="{48F79071-23B5-4F47-B266-8635F2AAC1A6}" name="VLR UNIT." dataDxfId="15">
      <calculatedColumnFormula>IFERROR(VLOOKUP(Tabla3[[#This Row],[MEDIDA DE TIEMPO]],B3:C5,2,FALSE)," ")</calculatedColumnFormula>
    </tableColumn>
    <tableColumn id="4" xr3:uid="{37C59C06-4A8B-411B-AEC5-350D0E7BC6F3}" name="N° DE OPERARIOS" dataDxfId="14"/>
    <tableColumn id="5" xr3:uid="{58404583-94DB-4A36-B265-A0FCD996253A}" name="VALOR" dataDxfId="13">
      <calculatedColumnFormula>IFERROR(Tabla3[[#This Row],[VLR UNIT.]]*Tabla3[[#This Row],[TIEMPO]]*Tabla3[[#This Row],[N° DE OPERARIOS]]," ")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77AD74F-6D36-4CBC-BAC9-1C547B83BE3F}" name="CIFMENSUALES" displayName="CIFMENSUALES" ref="C5:D16" totalsRowShown="0" headerRowDxfId="12" dataDxfId="11">
  <tableColumns count="2">
    <tableColumn id="1" xr3:uid="{D51C0127-A648-441F-B7CE-A08F9A18131F}" name="CONCEPTO" dataDxfId="10"/>
    <tableColumn id="2" xr3:uid="{AF3922E7-8227-425F-8F17-7BB4174CDC92}" name="VALOR" dataDxfId="9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4C46C82-BF91-4495-AF74-103288132789}" name="DISTRIBUCIONCIF" displayName="DISTRIBUCIONCIF" ref="F5:H16" totalsRowShown="0" headerRowDxfId="8" dataDxfId="7">
  <tableColumns count="3">
    <tableColumn id="1" xr3:uid="{99246A70-5CF7-4DF0-AE52-2349BE019499}" name="CONCEPTO" dataDxfId="6">
      <calculatedColumnFormula>+CIFMENSUALES[[#This Row],[CONCEPTO]]</calculatedColumnFormula>
    </tableColumn>
    <tableColumn id="3" xr3:uid="{5FF1A9E7-43D1-4CA7-8C71-93BA75E8CE52}" name="Producción" dataDxfId="5" dataCellStyle="Porcentaje"/>
    <tableColumn id="4" xr3:uid="{42082E84-73CE-48FE-BBF0-E1DE77CCBE00}" name="venta" dataDxfId="4" dataCellStyle="Porcentaje">
      <calculatedColumnFormula>1-DISTRIBUCIONCIF[[#This Row],[Producción]]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9F018E3-5F17-44E5-BB91-57648205D4AE}" name="CIFTOTALES" displayName="CIFTOTALES" ref="J5:K16" totalsRowShown="0" headerRowDxfId="3" dataDxfId="2">
  <tableColumns count="2">
    <tableColumn id="1" xr3:uid="{EA09AE02-564F-4920-A84A-B15970409510}" name="CONCEPTO" dataDxfId="1">
      <calculatedColumnFormula>+CIFMENSUALES[[#This Row],[CONCEPTO]]</calculatedColumnFormula>
    </tableColumn>
    <tableColumn id="2" xr3:uid="{DA7A5A41-D2D4-4DB5-B707-C4A9FBF021D6}" name="VALOR" dataDxfId="0">
      <calculatedColumnFormula>CIFMENSUALES[[#This Row],[VALOR]]*DISTRIBUCIONCIF[[#This Row],[Producción]]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35241-E7F3-4196-8358-7B2C3E79A9B0}">
  <dimension ref="A1"/>
  <sheetViews>
    <sheetView showGridLines="0" workbookViewId="0">
      <pane ySplit="20" topLeftCell="A21" activePane="bottomLeft" state="frozen"/>
      <selection pane="bottomLeft"/>
    </sheetView>
  </sheetViews>
  <sheetFormatPr baseColWidth="10" defaultRowHeight="15" x14ac:dyDescent="0.25"/>
  <sheetData/>
  <sheetProtection algorithmName="SHA-512" hashValue="lfvG8Mr49Rwh9BWRIt3uiNeO65GSC+zxJcACo+FAOjLc1KKNggHXsYAPKifBFZF1uHeorVGZj00KPYCcOqL07g==" saltValue="RKPJHxOmxDqR9raw8ZOdt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A3E39-0100-4DB5-A4AB-D47E69C1A76D}">
  <sheetPr>
    <tabColor theme="4" tint="0.39997558519241921"/>
  </sheetPr>
  <dimension ref="B1:F15"/>
  <sheetViews>
    <sheetView workbookViewId="0">
      <pane ySplit="4" topLeftCell="A5" activePane="bottomLeft" state="frozen"/>
      <selection pane="bottomLeft" activeCell="J6" sqref="J6"/>
    </sheetView>
  </sheetViews>
  <sheetFormatPr baseColWidth="10" defaultRowHeight="15" x14ac:dyDescent="0.25"/>
  <cols>
    <col min="1" max="1" width="26.85546875" customWidth="1"/>
    <col min="2" max="2" width="26.7109375" customWidth="1"/>
    <col min="5" max="5" width="17.28515625" customWidth="1"/>
    <col min="6" max="6" width="17.140625" customWidth="1"/>
  </cols>
  <sheetData>
    <row r="1" spans="2:6" ht="36" customHeight="1" x14ac:dyDescent="0.25">
      <c r="B1" s="65"/>
      <c r="C1" s="65"/>
      <c r="D1" s="65"/>
      <c r="E1" s="65"/>
      <c r="F1" s="65"/>
    </row>
    <row r="2" spans="2:6" ht="24.75" customHeight="1" x14ac:dyDescent="0.25">
      <c r="B2" s="66"/>
      <c r="C2" s="66"/>
      <c r="D2" s="66"/>
      <c r="E2" s="66"/>
      <c r="F2" s="66"/>
    </row>
    <row r="3" spans="2:6" ht="18.75" x14ac:dyDescent="0.3">
      <c r="B3" s="64" t="s">
        <v>83</v>
      </c>
      <c r="C3" s="64"/>
      <c r="D3" s="64"/>
      <c r="E3" s="64"/>
      <c r="F3" s="64"/>
    </row>
    <row r="4" spans="2:6" x14ac:dyDescent="0.25">
      <c r="B4" s="53" t="s">
        <v>0</v>
      </c>
      <c r="C4" s="53" t="s">
        <v>1</v>
      </c>
      <c r="D4" s="53" t="s">
        <v>2</v>
      </c>
      <c r="E4" s="53" t="s">
        <v>4</v>
      </c>
      <c r="F4" s="2" t="s">
        <v>3</v>
      </c>
    </row>
    <row r="5" spans="2:6" x14ac:dyDescent="0.25">
      <c r="B5" s="4" t="s">
        <v>5</v>
      </c>
      <c r="C5" s="2" t="s">
        <v>6</v>
      </c>
      <c r="D5" s="2">
        <v>100</v>
      </c>
      <c r="E5" s="3">
        <v>168000</v>
      </c>
      <c r="F5" s="3">
        <f>IFERROR(Listadeprecios[[#This Row],[VALOR]]/Listadeprecios[[#This Row],[CANT]]," ")</f>
        <v>1680</v>
      </c>
    </row>
    <row r="6" spans="2:6" x14ac:dyDescent="0.25">
      <c r="B6" s="4" t="s">
        <v>7</v>
      </c>
      <c r="C6" s="2" t="s">
        <v>6</v>
      </c>
      <c r="D6" s="2">
        <v>100</v>
      </c>
      <c r="E6" s="3">
        <v>209000</v>
      </c>
      <c r="F6" s="3">
        <f>IFERROR(Listadeprecios[[#This Row],[VALOR]]/Listadeprecios[[#This Row],[CANT]]," ")</f>
        <v>2090</v>
      </c>
    </row>
    <row r="7" spans="2:6" x14ac:dyDescent="0.25">
      <c r="B7" s="4" t="s">
        <v>8</v>
      </c>
      <c r="C7" s="2" t="s">
        <v>6</v>
      </c>
      <c r="D7" s="2">
        <v>30</v>
      </c>
      <c r="E7" s="3">
        <v>125000</v>
      </c>
      <c r="F7" s="3">
        <f>IFERROR(Listadeprecios[[#This Row],[VALOR]]/Listadeprecios[[#This Row],[CANT]]," ")</f>
        <v>4166.666666666667</v>
      </c>
    </row>
    <row r="8" spans="2:6" x14ac:dyDescent="0.25">
      <c r="B8" s="4" t="s">
        <v>9</v>
      </c>
      <c r="C8" s="2" t="s">
        <v>10</v>
      </c>
      <c r="D8" s="2">
        <v>30</v>
      </c>
      <c r="E8" s="3">
        <v>15000</v>
      </c>
      <c r="F8" s="3">
        <f>IFERROR(Listadeprecios[[#This Row],[VALOR]]/Listadeprecios[[#This Row],[CANT]]," ")</f>
        <v>500</v>
      </c>
    </row>
    <row r="9" spans="2:6" x14ac:dyDescent="0.25">
      <c r="B9" s="4" t="s">
        <v>11</v>
      </c>
      <c r="C9" s="2" t="s">
        <v>6</v>
      </c>
      <c r="D9" s="2">
        <v>20</v>
      </c>
      <c r="E9" s="3">
        <v>210000</v>
      </c>
      <c r="F9" s="3">
        <f>IFERROR(Listadeprecios[[#This Row],[VALOR]]/Listadeprecios[[#This Row],[CANT]]," ")</f>
        <v>10500</v>
      </c>
    </row>
    <row r="10" spans="2:6" x14ac:dyDescent="0.25">
      <c r="B10" s="4" t="s">
        <v>12</v>
      </c>
      <c r="C10" s="2" t="s">
        <v>13</v>
      </c>
      <c r="D10" s="2">
        <v>20</v>
      </c>
      <c r="E10" s="3">
        <v>250000</v>
      </c>
      <c r="F10" s="3">
        <f>IFERROR(Listadeprecios[[#This Row],[VALOR]]/Listadeprecios[[#This Row],[CANT]]," ")</f>
        <v>12500</v>
      </c>
    </row>
    <row r="11" spans="2:6" x14ac:dyDescent="0.25">
      <c r="B11" s="4" t="s">
        <v>14</v>
      </c>
      <c r="C11" s="2" t="s">
        <v>6</v>
      </c>
      <c r="D11" s="2">
        <v>25</v>
      </c>
      <c r="E11" s="3">
        <v>25000</v>
      </c>
      <c r="F11" s="3">
        <f>IFERROR(Listadeprecios[[#This Row],[VALOR]]/Listadeprecios[[#This Row],[CANT]]," ")</f>
        <v>1000</v>
      </c>
    </row>
    <row r="12" spans="2:6" x14ac:dyDescent="0.25">
      <c r="B12" s="4" t="s">
        <v>15</v>
      </c>
      <c r="C12" s="2" t="s">
        <v>6</v>
      </c>
      <c r="D12" s="2">
        <v>50</v>
      </c>
      <c r="E12" s="3">
        <v>200000</v>
      </c>
      <c r="F12" s="3">
        <f>IFERROR(Listadeprecios[[#This Row],[VALOR]]/Listadeprecios[[#This Row],[CANT]]," ")</f>
        <v>4000</v>
      </c>
    </row>
    <row r="13" spans="2:6" x14ac:dyDescent="0.25">
      <c r="B13" s="4" t="s">
        <v>16</v>
      </c>
      <c r="C13" s="2" t="s">
        <v>6</v>
      </c>
      <c r="D13" s="2">
        <v>12.5</v>
      </c>
      <c r="E13" s="3">
        <v>46000</v>
      </c>
      <c r="F13" s="3">
        <f>IFERROR(Listadeprecios[[#This Row],[VALOR]]/Listadeprecios[[#This Row],[CANT]]," ")</f>
        <v>3680</v>
      </c>
    </row>
    <row r="14" spans="2:6" x14ac:dyDescent="0.25">
      <c r="B14" s="4" t="s">
        <v>85</v>
      </c>
      <c r="C14" s="2" t="s">
        <v>6</v>
      </c>
      <c r="D14" s="2">
        <v>5</v>
      </c>
      <c r="E14" s="3">
        <v>45000</v>
      </c>
      <c r="F14" s="3">
        <f>IFERROR(Listadeprecios[[#This Row],[VALOR]]/Listadeprecios[[#This Row],[CANT]]," ")</f>
        <v>9000</v>
      </c>
    </row>
    <row r="15" spans="2:6" x14ac:dyDescent="0.25">
      <c r="B15" s="4"/>
      <c r="C15" s="2"/>
      <c r="D15" s="2"/>
      <c r="E15" s="3"/>
      <c r="F15" s="3" t="str">
        <f>IFERROR(Listadeprecios[[#This Row],[VALOR]]/Listadeprecios[[#This Row],[CANT]]," ")</f>
        <v xml:space="preserve"> </v>
      </c>
    </row>
  </sheetData>
  <mergeCells count="2">
    <mergeCell ref="B3:F3"/>
    <mergeCell ref="B1:F2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C6356-9882-4182-BD5E-15A0E6A079A3}">
  <sheetPr>
    <tabColor theme="5" tint="-0.249977111117893"/>
  </sheetPr>
  <dimension ref="B1:J17"/>
  <sheetViews>
    <sheetView showGridLines="0" workbookViewId="0">
      <selection activeCell="M8" sqref="M8"/>
    </sheetView>
  </sheetViews>
  <sheetFormatPr baseColWidth="10" defaultRowHeight="15" x14ac:dyDescent="0.25"/>
  <cols>
    <col min="1" max="1" width="23.140625" customWidth="1"/>
    <col min="2" max="2" width="27.42578125" customWidth="1"/>
    <col min="3" max="3" width="12.5703125" customWidth="1"/>
    <col min="5" max="5" width="11.7109375" customWidth="1"/>
    <col min="6" max="6" width="15.7109375" customWidth="1"/>
    <col min="7" max="7" width="16.28515625" customWidth="1"/>
    <col min="9" max="9" width="11.42578125" customWidth="1"/>
  </cols>
  <sheetData>
    <row r="1" spans="2:10" x14ac:dyDescent="0.25">
      <c r="B1" s="65"/>
      <c r="C1" s="65"/>
      <c r="D1" s="65"/>
      <c r="E1" s="65"/>
      <c r="F1" s="65"/>
      <c r="G1" s="65"/>
    </row>
    <row r="2" spans="2:10" x14ac:dyDescent="0.25">
      <c r="B2" s="65"/>
      <c r="C2" s="65"/>
      <c r="D2" s="65"/>
      <c r="E2" s="65"/>
      <c r="F2" s="65"/>
      <c r="G2" s="65"/>
    </row>
    <row r="3" spans="2:10" ht="30.75" customHeight="1" x14ac:dyDescent="0.25">
      <c r="B3" s="66"/>
      <c r="C3" s="66"/>
      <c r="D3" s="66"/>
      <c r="E3" s="66"/>
      <c r="F3" s="66"/>
      <c r="G3" s="66"/>
    </row>
    <row r="4" spans="2:10" ht="16.5" thickBot="1" x14ac:dyDescent="0.3">
      <c r="B4" s="67" t="s">
        <v>17</v>
      </c>
      <c r="C4" s="67"/>
      <c r="D4" s="67"/>
      <c r="E4" s="67"/>
      <c r="F4" s="67"/>
      <c r="G4" s="67"/>
    </row>
    <row r="5" spans="2:10" ht="16.5" thickBot="1" x14ac:dyDescent="0.3">
      <c r="B5" s="68" t="s">
        <v>18</v>
      </c>
      <c r="C5" s="69"/>
      <c r="D5" s="45" t="s">
        <v>19</v>
      </c>
      <c r="E5" s="5"/>
      <c r="F5" s="5"/>
      <c r="G5" s="5"/>
    </row>
    <row r="6" spans="2:10" ht="16.5" thickBot="1" x14ac:dyDescent="0.3">
      <c r="B6" s="70" t="s">
        <v>20</v>
      </c>
      <c r="C6" s="71"/>
      <c r="D6" s="45">
        <v>25</v>
      </c>
      <c r="E6" s="5"/>
      <c r="F6" s="6" t="s">
        <v>21</v>
      </c>
      <c r="G6" s="7">
        <f>SUM(materiaprima[VLR TOTAL])</f>
        <v>8096.666666666667</v>
      </c>
    </row>
    <row r="7" spans="2:10" x14ac:dyDescent="0.25">
      <c r="B7" s="5"/>
      <c r="C7" s="5"/>
      <c r="D7" s="5"/>
      <c r="E7" s="5"/>
      <c r="F7" s="5"/>
      <c r="G7" s="5"/>
    </row>
    <row r="8" spans="2:10" ht="29.25" customHeight="1" x14ac:dyDescent="0.25">
      <c r="B8" s="54" t="s">
        <v>22</v>
      </c>
      <c r="C8" s="8" t="s">
        <v>23</v>
      </c>
      <c r="D8" s="8" t="s">
        <v>24</v>
      </c>
      <c r="E8" s="54" t="s">
        <v>25</v>
      </c>
      <c r="F8" s="8" t="s">
        <v>3</v>
      </c>
      <c r="G8" s="8" t="s">
        <v>26</v>
      </c>
    </row>
    <row r="9" spans="2:10" x14ac:dyDescent="0.25">
      <c r="B9" s="4" t="s">
        <v>5</v>
      </c>
      <c r="C9" s="9">
        <f>IFERROR(materiaprima[[#This Row],[CANTIDAD]]/$D$6," ")</f>
        <v>0.04</v>
      </c>
      <c r="D9" s="2" t="str">
        <f>IFERROR(VLOOKUP(materiaprima[[#This Row],[INGREDIENTE]],Listadeprecios[],2,FALSE)," ")</f>
        <v>lb</v>
      </c>
      <c r="E9" s="2">
        <v>1</v>
      </c>
      <c r="F9" s="3">
        <f>IFERROR(VLOOKUP(materiaprima[[#This Row],[INGREDIENTE]],Listadeprecios[],5,FALSE)," ")</f>
        <v>1680</v>
      </c>
      <c r="G9" s="10">
        <f>IFERROR(materiaprima[[#This Row],[VLR UNIT]]*materiaprima[[#This Row],[CANTIDAD]]," ")</f>
        <v>1680</v>
      </c>
      <c r="I9" s="52" t="s">
        <v>28</v>
      </c>
      <c r="J9" s="11" t="s">
        <v>27</v>
      </c>
    </row>
    <row r="10" spans="2:10" ht="15.75" x14ac:dyDescent="0.25">
      <c r="B10" s="4" t="s">
        <v>8</v>
      </c>
      <c r="C10" s="9">
        <f>IFERROR(materiaprima[[#This Row],[CANTIDAD]]/$D$6," ")</f>
        <v>0.04</v>
      </c>
      <c r="D10" s="2" t="str">
        <f>IFERROR(VLOOKUP(materiaprima[[#This Row],[INGREDIENTE]],Listadeprecios[],2,FALSE)," ")</f>
        <v>lb</v>
      </c>
      <c r="E10" s="2">
        <v>1</v>
      </c>
      <c r="F10" s="3">
        <f>IFERROR(VLOOKUP(materiaprima[[#This Row],[INGREDIENTE]],Listadeprecios[],5,FALSE)," ")</f>
        <v>4166.666666666667</v>
      </c>
      <c r="G10" s="10">
        <f>IFERROR(materiaprima[[#This Row],[VLR UNIT]]*materiaprima[[#This Row],[CANTIDAD]]," ")</f>
        <v>4166.666666666667</v>
      </c>
      <c r="I10" s="44">
        <v>100</v>
      </c>
      <c r="J10" s="12">
        <f>I10/500</f>
        <v>0.2</v>
      </c>
    </row>
    <row r="11" spans="2:10" x14ac:dyDescent="0.25">
      <c r="B11" s="4" t="s">
        <v>9</v>
      </c>
      <c r="C11" s="9">
        <f>IFERROR(materiaprima[[#This Row],[CANTIDAD]]/$D$6," ")</f>
        <v>0.08</v>
      </c>
      <c r="D11" s="2" t="str">
        <f>IFERROR(VLOOKUP(materiaprima[[#This Row],[INGREDIENTE]],Listadeprecios[],2,FALSE)," ")</f>
        <v>unid</v>
      </c>
      <c r="E11" s="2">
        <v>2</v>
      </c>
      <c r="F11" s="3">
        <f>IFERROR(VLOOKUP(materiaprima[[#This Row],[INGREDIENTE]],Listadeprecios[],5,FALSE)," ")</f>
        <v>500</v>
      </c>
      <c r="G11" s="10">
        <f>IFERROR(materiaprima[[#This Row],[VLR UNIT]]*materiaprima[[#This Row],[CANTIDAD]]," ")</f>
        <v>1000</v>
      </c>
    </row>
    <row r="12" spans="2:10" x14ac:dyDescent="0.25">
      <c r="B12" s="4" t="s">
        <v>14</v>
      </c>
      <c r="C12" s="9">
        <f>IFERROR(materiaprima[[#This Row],[CANTIDAD]]/$D$6," ")</f>
        <v>0</v>
      </c>
      <c r="D12" s="2" t="str">
        <f>IFERROR(VLOOKUP(materiaprima[[#This Row],[INGREDIENTE]],Listadeprecios[],2,FALSE)," ")</f>
        <v>lb</v>
      </c>
      <c r="E12" s="2">
        <v>0</v>
      </c>
      <c r="F12" s="3">
        <f>IFERROR(VLOOKUP(materiaprima[[#This Row],[INGREDIENTE]],Listadeprecios[],5,FALSE)," ")</f>
        <v>1000</v>
      </c>
      <c r="G12" s="10">
        <f>IFERROR(materiaprima[[#This Row],[VLR UNIT]]*materiaprima[[#This Row],[CANTIDAD]]," ")</f>
        <v>0</v>
      </c>
      <c r="I12" s="43" t="s">
        <v>29</v>
      </c>
      <c r="J12" s="13" t="s">
        <v>30</v>
      </c>
    </row>
    <row r="13" spans="2:10" ht="15.75" x14ac:dyDescent="0.25">
      <c r="B13" s="4" t="s">
        <v>12</v>
      </c>
      <c r="C13" s="9">
        <f>IFERROR(materiaprima[[#This Row],[CANTIDAD]]/$D$6," ")</f>
        <v>4.0000000000000001E-3</v>
      </c>
      <c r="D13" s="2" t="str">
        <f>IFERROR(VLOOKUP(materiaprima[[#This Row],[INGREDIENTE]],Listadeprecios[],2,FALSE)," ")</f>
        <v>lt</v>
      </c>
      <c r="E13" s="2">
        <v>0.1</v>
      </c>
      <c r="F13" s="3">
        <f>IFERROR(VLOOKUP(materiaprima[[#This Row],[INGREDIENTE]],Listadeprecios[],5,FALSE)," ")</f>
        <v>12500</v>
      </c>
      <c r="G13" s="10">
        <f>IFERROR(materiaprima[[#This Row],[VLR UNIT]]*materiaprima[[#This Row],[CANTIDAD]]," ")</f>
        <v>1250</v>
      </c>
      <c r="I13" s="44">
        <v>150</v>
      </c>
      <c r="J13" s="12">
        <f>I13/1000</f>
        <v>0.15</v>
      </c>
    </row>
    <row r="14" spans="2:10" x14ac:dyDescent="0.25">
      <c r="B14" s="4"/>
      <c r="C14" s="9">
        <f>IFERROR(materiaprima[[#This Row],[CANTIDAD]]/$D$6," ")</f>
        <v>0</v>
      </c>
      <c r="D14" s="2" t="str">
        <f>IFERROR(VLOOKUP(materiaprima[[#This Row],[INGREDIENTE]],Listadeprecios[],2,FALSE)," ")</f>
        <v xml:space="preserve"> </v>
      </c>
      <c r="E14" s="2"/>
      <c r="F14" s="3" t="str">
        <f>IFERROR(VLOOKUP(materiaprima[[#This Row],[INGREDIENTE]],Listadeprecios[],5,FALSE)," ")</f>
        <v xml:space="preserve"> </v>
      </c>
      <c r="G14" s="10" t="str">
        <f>IFERROR(materiaprima[[#This Row],[VLR UNIT]]*materiaprima[[#This Row],[CANTIDAD]]," ")</f>
        <v xml:space="preserve"> </v>
      </c>
    </row>
    <row r="15" spans="2:10" x14ac:dyDescent="0.25">
      <c r="B15" s="4"/>
      <c r="C15" s="9">
        <f>IFERROR(materiaprima[[#This Row],[CANTIDAD]]/$D$6," ")</f>
        <v>0</v>
      </c>
      <c r="D15" s="2" t="str">
        <f>IFERROR(VLOOKUP(materiaprima[[#This Row],[INGREDIENTE]],Listadeprecios[],2,FALSE)," ")</f>
        <v xml:space="preserve"> </v>
      </c>
      <c r="E15" s="2"/>
      <c r="F15" s="3" t="str">
        <f>IFERROR(VLOOKUP(materiaprima[[#This Row],[INGREDIENTE]],Listadeprecios[],5,FALSE)," ")</f>
        <v xml:space="preserve"> </v>
      </c>
      <c r="G15" s="10" t="str">
        <f>IFERROR(materiaprima[[#This Row],[VLR UNIT]]*materiaprima[[#This Row],[CANTIDAD]]," ")</f>
        <v xml:space="preserve"> </v>
      </c>
    </row>
    <row r="16" spans="2:10" x14ac:dyDescent="0.25">
      <c r="B16" s="4"/>
      <c r="C16" s="9">
        <f>IFERROR(materiaprima[[#This Row],[CANTIDAD]]/$D$6," ")</f>
        <v>0</v>
      </c>
      <c r="D16" s="2" t="str">
        <f>IFERROR(VLOOKUP(materiaprima[[#This Row],[INGREDIENTE]],Listadeprecios[],2,FALSE)," ")</f>
        <v xml:space="preserve"> </v>
      </c>
      <c r="E16" s="2"/>
      <c r="F16" s="3" t="str">
        <f>IFERROR(VLOOKUP(materiaprima[[#This Row],[INGREDIENTE]],Listadeprecios[],5,FALSE)," ")</f>
        <v xml:space="preserve"> </v>
      </c>
      <c r="G16" s="10" t="str">
        <f>IFERROR(materiaprima[[#This Row],[VLR UNIT]]*materiaprima[[#This Row],[CANTIDAD]]," ")</f>
        <v xml:space="preserve"> </v>
      </c>
    </row>
    <row r="17" spans="2:7" x14ac:dyDescent="0.25">
      <c r="B17" s="4"/>
      <c r="C17" s="9">
        <f>IFERROR(materiaprima[[#This Row],[CANTIDAD]]/$D$6," ")</f>
        <v>0</v>
      </c>
      <c r="D17" s="2" t="str">
        <f>IFERROR(VLOOKUP(materiaprima[[#This Row],[INGREDIENTE]],Listadeprecios[],2,FALSE)," ")</f>
        <v xml:space="preserve"> </v>
      </c>
      <c r="E17" s="2"/>
      <c r="F17" s="3" t="str">
        <f>IFERROR(VLOOKUP(materiaprima[[#This Row],[INGREDIENTE]],Listadeprecios[],5,FALSE)," ")</f>
        <v xml:space="preserve"> </v>
      </c>
      <c r="G17" s="10" t="str">
        <f>IFERROR(materiaprima[[#This Row],[VLR UNIT]]*materiaprima[[#This Row],[CANTIDAD]]," ")</f>
        <v xml:space="preserve"> </v>
      </c>
    </row>
  </sheetData>
  <mergeCells count="4">
    <mergeCell ref="B4:G4"/>
    <mergeCell ref="B5:C5"/>
    <mergeCell ref="B6:C6"/>
    <mergeCell ref="B1:G3"/>
  </mergeCells>
  <dataValidations count="1">
    <dataValidation type="list" allowBlank="1" showInputMessage="1" showErrorMessage="1" sqref="B9:B17" xr:uid="{5AC95138-B900-418B-9500-D3AA5D594732}">
      <formula1>productos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695C8-3EAA-4D9F-A640-EAE36CF8B6CB}">
  <sheetPr>
    <tabColor theme="5" tint="0.39997558519241921"/>
  </sheetPr>
  <dimension ref="B1:P20"/>
  <sheetViews>
    <sheetView showGridLines="0" topLeftCell="B1" workbookViewId="0">
      <selection activeCell="J2" sqref="J2:K2"/>
    </sheetView>
  </sheetViews>
  <sheetFormatPr baseColWidth="10" defaultRowHeight="15" x14ac:dyDescent="0.25"/>
  <cols>
    <col min="1" max="1" width="29.85546875" customWidth="1"/>
    <col min="2" max="2" width="25.42578125" customWidth="1"/>
    <col min="3" max="3" width="13.5703125" customWidth="1"/>
    <col min="4" max="4" width="9.7109375" customWidth="1"/>
    <col min="5" max="5" width="12" customWidth="1"/>
    <col min="6" max="6" width="12.5703125" customWidth="1"/>
    <col min="7" max="7" width="14.85546875" customWidth="1"/>
    <col min="10" max="10" width="27.7109375" customWidth="1"/>
    <col min="11" max="11" width="11.42578125" customWidth="1"/>
    <col min="12" max="12" width="18.85546875" customWidth="1"/>
    <col min="15" max="15" width="13" bestFit="1" customWidth="1"/>
  </cols>
  <sheetData>
    <row r="1" spans="2:16" ht="64.5" customHeight="1" x14ac:dyDescent="0.25">
      <c r="B1" s="65"/>
      <c r="C1" s="65"/>
      <c r="D1" s="65"/>
      <c r="E1" s="65"/>
      <c r="F1" s="65"/>
      <c r="G1" s="65"/>
      <c r="J1" s="72" t="s">
        <v>60</v>
      </c>
      <c r="K1" s="72"/>
      <c r="L1" s="46">
        <v>480</v>
      </c>
    </row>
    <row r="2" spans="2:16" x14ac:dyDescent="0.25">
      <c r="C2" s="56" t="s">
        <v>84</v>
      </c>
      <c r="J2" s="75" t="s">
        <v>81</v>
      </c>
      <c r="K2" s="75"/>
      <c r="L2" s="48">
        <f>L1*C4</f>
        <v>3320390.4</v>
      </c>
      <c r="N2" s="34"/>
    </row>
    <row r="3" spans="2:16" x14ac:dyDescent="0.25">
      <c r="B3" s="57" t="s">
        <v>53</v>
      </c>
      <c r="C3" s="30">
        <f>(L4+L7)/30</f>
        <v>55339.839999999997</v>
      </c>
      <c r="J3" s="74" t="s">
        <v>50</v>
      </c>
      <c r="K3" s="74"/>
      <c r="L3" s="30">
        <v>40000</v>
      </c>
      <c r="N3" s="14"/>
      <c r="O3" s="35"/>
    </row>
    <row r="4" spans="2:16" x14ac:dyDescent="0.25">
      <c r="B4" s="57" t="s">
        <v>54</v>
      </c>
      <c r="C4" s="30">
        <f>C3/L6</f>
        <v>6917.48</v>
      </c>
      <c r="J4" s="75" t="s">
        <v>49</v>
      </c>
      <c r="K4" s="75"/>
      <c r="L4" s="30">
        <f>L3*30</f>
        <v>1200000</v>
      </c>
      <c r="N4" s="14"/>
      <c r="O4" s="32"/>
    </row>
    <row r="5" spans="2:16" x14ac:dyDescent="0.25">
      <c r="B5" s="57" t="s">
        <v>55</v>
      </c>
      <c r="C5" s="30">
        <f>C4/60</f>
        <v>115.29133333333333</v>
      </c>
      <c r="J5" s="74" t="s">
        <v>51</v>
      </c>
      <c r="K5" s="74"/>
      <c r="L5" s="30">
        <v>0</v>
      </c>
      <c r="N5" s="14"/>
      <c r="O5" s="32"/>
    </row>
    <row r="6" spans="2:16" ht="18.75" x14ac:dyDescent="0.3">
      <c r="D6" s="73" t="s">
        <v>35</v>
      </c>
      <c r="E6" s="73"/>
      <c r="F6" s="73"/>
      <c r="G6" s="58">
        <f>SUM(Tabla3[VALOR])</f>
        <v>5879.8579999999993</v>
      </c>
      <c r="J6" s="74" t="s">
        <v>52</v>
      </c>
      <c r="K6" s="74"/>
      <c r="L6" s="31">
        <v>8</v>
      </c>
      <c r="O6" s="32"/>
    </row>
    <row r="7" spans="2:16" ht="36" customHeight="1" x14ac:dyDescent="0.25">
      <c r="B7" s="53" t="s">
        <v>31</v>
      </c>
      <c r="C7" s="55" t="s">
        <v>32</v>
      </c>
      <c r="D7" s="53" t="s">
        <v>33</v>
      </c>
      <c r="E7" s="2" t="s">
        <v>56</v>
      </c>
      <c r="F7" s="55" t="s">
        <v>34</v>
      </c>
      <c r="G7" s="2" t="s">
        <v>4</v>
      </c>
      <c r="L7" s="16">
        <f>SUM(L9:L20)</f>
        <v>460195.2</v>
      </c>
    </row>
    <row r="8" spans="2:16" ht="16.5" thickBot="1" x14ac:dyDescent="0.3">
      <c r="B8" s="2" t="s">
        <v>57</v>
      </c>
      <c r="C8" s="2" t="s">
        <v>55</v>
      </c>
      <c r="D8" s="2">
        <v>5</v>
      </c>
      <c r="E8" s="3">
        <f>IFERROR(VLOOKUP(Tabla3[[#This Row],[MEDIDA DE TIEMPO]],B3:C5,2,FALSE)," ")</f>
        <v>115.29133333333333</v>
      </c>
      <c r="F8" s="2">
        <v>1</v>
      </c>
      <c r="G8" s="3">
        <f>IFERROR(Tabla3[[#This Row],[VLR UNIT.]]*Tabla3[[#This Row],[TIEMPO]]*Tabla3[[#This Row],[N° DE OPERARIOS]]," ")</f>
        <v>576.45666666666659</v>
      </c>
      <c r="J8" s="17" t="s">
        <v>36</v>
      </c>
      <c r="K8" s="59" t="s">
        <v>37</v>
      </c>
      <c r="L8" s="18" t="s">
        <v>4</v>
      </c>
      <c r="N8" s="14"/>
      <c r="O8" s="14"/>
    </row>
    <row r="9" spans="2:16" x14ac:dyDescent="0.25">
      <c r="B9" s="2" t="s">
        <v>58</v>
      </c>
      <c r="C9" s="2" t="s">
        <v>55</v>
      </c>
      <c r="D9" s="2">
        <v>10</v>
      </c>
      <c r="E9" s="3">
        <f>IFERROR(VLOOKUP(Tabla3[[#This Row],[MEDIDA DE TIEMPO]],B4:C6,2,FALSE)," ")</f>
        <v>115.29133333333333</v>
      </c>
      <c r="F9" s="2">
        <v>1</v>
      </c>
      <c r="G9" s="3">
        <f>IFERROR(Tabla3[[#This Row],[VLR UNIT.]]*Tabla3[[#This Row],[TIEMPO]]*Tabla3[[#This Row],[N° DE OPERARIOS]]," ")</f>
        <v>1152.9133333333332</v>
      </c>
      <c r="J9" s="19" t="s">
        <v>38</v>
      </c>
      <c r="K9" s="20">
        <v>0</v>
      </c>
      <c r="L9" s="21">
        <f>L4*'Mano de obra'!$K9</f>
        <v>0</v>
      </c>
      <c r="N9" s="14"/>
    </row>
    <row r="10" spans="2:16" x14ac:dyDescent="0.25">
      <c r="B10" s="2" t="s">
        <v>86</v>
      </c>
      <c r="C10" s="2" t="s">
        <v>55</v>
      </c>
      <c r="D10" s="2">
        <v>18</v>
      </c>
      <c r="E10" s="3">
        <f>IFERROR(VLOOKUP(Tabla3[[#This Row],[MEDIDA DE TIEMPO]],B5:C7,2,FALSE)," ")</f>
        <v>115.29133333333333</v>
      </c>
      <c r="F10" s="2">
        <v>2</v>
      </c>
      <c r="G10" s="3">
        <f>IFERROR(Tabla3[[#This Row],[VLR UNIT.]]*Tabla3[[#This Row],[TIEMPO]]*Tabla3[[#This Row],[N° DE OPERARIOS]]," ")</f>
        <v>4150.4879999999994</v>
      </c>
      <c r="J10" s="22" t="s">
        <v>59</v>
      </c>
      <c r="K10" s="23">
        <v>0.12</v>
      </c>
      <c r="L10" s="24">
        <f>L4*'Mano de obra'!$K10</f>
        <v>144000</v>
      </c>
      <c r="N10" s="14"/>
      <c r="O10" s="14"/>
    </row>
    <row r="11" spans="2:16" x14ac:dyDescent="0.25">
      <c r="J11" s="25" t="s">
        <v>39</v>
      </c>
      <c r="K11" s="26">
        <v>5.1999999999999998E-3</v>
      </c>
      <c r="L11" s="27">
        <f>L4*'Mano de obra'!$K11</f>
        <v>6240</v>
      </c>
      <c r="N11" s="14"/>
      <c r="O11" s="14"/>
      <c r="P11" s="14"/>
    </row>
    <row r="12" spans="2:16" x14ac:dyDescent="0.25">
      <c r="J12" s="22" t="s">
        <v>40</v>
      </c>
      <c r="K12" s="23">
        <v>0.04</v>
      </c>
      <c r="L12" s="24">
        <f>L4*'Mano de obra'!$K12</f>
        <v>48000</v>
      </c>
      <c r="N12" s="14"/>
      <c r="O12" s="14"/>
    </row>
    <row r="13" spans="2:16" x14ac:dyDescent="0.25">
      <c r="J13" s="25" t="s">
        <v>41</v>
      </c>
      <c r="K13" s="26">
        <v>0</v>
      </c>
      <c r="L13" s="27">
        <f>L4*'Mano de obra'!$K13</f>
        <v>0</v>
      </c>
      <c r="O13" s="14"/>
    </row>
    <row r="14" spans="2:16" x14ac:dyDescent="0.25">
      <c r="J14" s="22" t="s">
        <v>42</v>
      </c>
      <c r="K14" s="23">
        <v>0</v>
      </c>
      <c r="L14" s="24">
        <f>L4*'Mano de obra'!$K14</f>
        <v>0</v>
      </c>
      <c r="O14" s="14"/>
    </row>
    <row r="15" spans="2:16" x14ac:dyDescent="0.25">
      <c r="J15" s="25" t="s">
        <v>43</v>
      </c>
      <c r="K15" s="26">
        <v>8.3299999999999999E-2</v>
      </c>
      <c r="L15" s="27">
        <f>(L4+L5)*K15</f>
        <v>99960</v>
      </c>
      <c r="N15" s="14"/>
      <c r="O15" s="14"/>
    </row>
    <row r="16" spans="2:16" x14ac:dyDescent="0.25">
      <c r="J16" s="22" t="s">
        <v>44</v>
      </c>
      <c r="K16" s="23">
        <v>8.3299999999999999E-2</v>
      </c>
      <c r="L16" s="24">
        <f>(L4+L5)*'Mano de obra'!$K16</f>
        <v>99960</v>
      </c>
      <c r="N16" s="33"/>
      <c r="O16" s="14"/>
    </row>
    <row r="17" spans="10:15" x14ac:dyDescent="0.25">
      <c r="J17" s="25" t="s">
        <v>45</v>
      </c>
      <c r="K17" s="26">
        <v>0.12</v>
      </c>
      <c r="L17" s="27">
        <f>L16*'Mano de obra'!$K17</f>
        <v>11995.199999999999</v>
      </c>
      <c r="N17" s="14"/>
      <c r="O17" s="14"/>
    </row>
    <row r="18" spans="10:15" x14ac:dyDescent="0.25">
      <c r="J18" s="22" t="s">
        <v>46</v>
      </c>
      <c r="K18" s="23">
        <v>4.1700000000000001E-2</v>
      </c>
      <c r="L18" s="24">
        <f>L4*'Mano de obra'!$K18</f>
        <v>50040</v>
      </c>
      <c r="N18" s="14"/>
    </row>
    <row r="19" spans="10:15" x14ac:dyDescent="0.25">
      <c r="J19" s="25" t="s">
        <v>47</v>
      </c>
      <c r="K19" s="26"/>
      <c r="L19" s="27"/>
      <c r="N19" s="14"/>
    </row>
    <row r="20" spans="10:15" x14ac:dyDescent="0.25">
      <c r="J20" s="28" t="s">
        <v>48</v>
      </c>
      <c r="K20" s="29"/>
      <c r="L20" s="15"/>
      <c r="N20" s="14"/>
    </row>
  </sheetData>
  <mergeCells count="8">
    <mergeCell ref="J1:K1"/>
    <mergeCell ref="D6:F6"/>
    <mergeCell ref="J3:K3"/>
    <mergeCell ref="J4:K4"/>
    <mergeCell ref="J5:K5"/>
    <mergeCell ref="J6:K6"/>
    <mergeCell ref="J2:K2"/>
    <mergeCell ref="B1:G1"/>
  </mergeCells>
  <dataValidations count="1">
    <dataValidation type="list" allowBlank="1" showInputMessage="1" showErrorMessage="1" sqref="C8:C10" xr:uid="{0A94D81A-4DB2-4E60-9646-A9F0A822E5FD}">
      <formula1>$B$3:$B$5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584AA-E8D3-4ADD-B728-0AFF33A304DC}">
  <sheetPr>
    <tabColor theme="6" tint="-0.249977111117893"/>
  </sheetPr>
  <dimension ref="C1:K16"/>
  <sheetViews>
    <sheetView showGridLines="0" tabSelected="1" topLeftCell="B1" workbookViewId="0">
      <selection activeCell="I2" sqref="I2"/>
    </sheetView>
  </sheetViews>
  <sheetFormatPr baseColWidth="10" defaultRowHeight="15" x14ac:dyDescent="0.25"/>
  <cols>
    <col min="3" max="3" width="30.7109375" customWidth="1"/>
    <col min="4" max="4" width="17.7109375" customWidth="1"/>
    <col min="6" max="6" width="32" customWidth="1"/>
    <col min="7" max="8" width="13" customWidth="1"/>
    <col min="9" max="9" width="11.7109375" customWidth="1"/>
    <col min="10" max="10" width="27.7109375" customWidth="1"/>
    <col min="11" max="11" width="17.140625" customWidth="1"/>
  </cols>
  <sheetData>
    <row r="1" spans="3:11" ht="41.25" customHeight="1" x14ac:dyDescent="0.25">
      <c r="C1" s="65"/>
      <c r="D1" s="65"/>
      <c r="E1" s="65"/>
      <c r="F1" s="65"/>
      <c r="G1" s="65"/>
      <c r="H1" s="65"/>
    </row>
    <row r="2" spans="3:11" ht="18.75" x14ac:dyDescent="0.3">
      <c r="K2" s="40">
        <f>SUM(CIFTOTALES[VALOR])</f>
        <v>330000</v>
      </c>
    </row>
    <row r="3" spans="3:11" x14ac:dyDescent="0.25">
      <c r="C3" s="73" t="s">
        <v>61</v>
      </c>
      <c r="D3" s="73"/>
      <c r="I3" s="39"/>
    </row>
    <row r="4" spans="3:11" ht="15.75" x14ac:dyDescent="0.25">
      <c r="C4" s="41" t="s">
        <v>76</v>
      </c>
      <c r="D4" s="42">
        <f>SUM(CIFMENSUALES[VALOR])</f>
        <v>1000000</v>
      </c>
      <c r="F4" s="76" t="s">
        <v>74</v>
      </c>
      <c r="G4" s="77"/>
      <c r="H4" s="77"/>
      <c r="J4" s="78" t="s">
        <v>75</v>
      </c>
      <c r="K4" s="78"/>
    </row>
    <row r="5" spans="3:11" x14ac:dyDescent="0.25">
      <c r="C5" s="60" t="s">
        <v>36</v>
      </c>
      <c r="D5" s="60" t="s">
        <v>4</v>
      </c>
      <c r="F5" s="1" t="s">
        <v>36</v>
      </c>
      <c r="G5" s="60" t="s">
        <v>72</v>
      </c>
      <c r="H5" s="1" t="s">
        <v>73</v>
      </c>
      <c r="J5" s="1" t="s">
        <v>36</v>
      </c>
      <c r="K5" s="1" t="s">
        <v>4</v>
      </c>
    </row>
    <row r="6" spans="3:11" x14ac:dyDescent="0.25">
      <c r="C6" s="37" t="s">
        <v>62</v>
      </c>
      <c r="D6" s="36">
        <v>700000</v>
      </c>
      <c r="F6" s="37" t="str">
        <f>+CIFMENSUALES[[#This Row],[CONCEPTO]]</f>
        <v>Arriendo</v>
      </c>
      <c r="G6" s="38">
        <v>0.3</v>
      </c>
      <c r="H6" s="38">
        <f>1-DISTRIBUCIONCIF[[#This Row],[Producción]]</f>
        <v>0.7</v>
      </c>
      <c r="J6" s="37" t="str">
        <f>+CIFMENSUALES[[#This Row],[CONCEPTO]]</f>
        <v>Arriendo</v>
      </c>
      <c r="K6" s="36">
        <f>CIFMENSUALES[[#This Row],[VALOR]]*DISTRIBUCIONCIF[[#This Row],[Producción]]</f>
        <v>210000</v>
      </c>
    </row>
    <row r="7" spans="3:11" x14ac:dyDescent="0.25">
      <c r="C7" s="37" t="s">
        <v>63</v>
      </c>
      <c r="D7" s="36">
        <v>200000</v>
      </c>
      <c r="F7" s="37" t="str">
        <f>+CIFMENSUALES[[#This Row],[CONCEPTO]]</f>
        <v>Electricidad</v>
      </c>
      <c r="G7" s="38">
        <v>0.6</v>
      </c>
      <c r="H7" s="38">
        <f>1-DISTRIBUCIONCIF[[#This Row],[Producción]]</f>
        <v>0.4</v>
      </c>
      <c r="J7" s="37" t="str">
        <f>+CIFMENSUALES[[#This Row],[CONCEPTO]]</f>
        <v>Electricidad</v>
      </c>
      <c r="K7" s="36">
        <f>CIFMENSUALES[[#This Row],[VALOR]]*DISTRIBUCIONCIF[[#This Row],[Producción]]</f>
        <v>120000</v>
      </c>
    </row>
    <row r="8" spans="3:11" x14ac:dyDescent="0.25">
      <c r="C8" s="37" t="s">
        <v>64</v>
      </c>
      <c r="D8" s="36">
        <v>100000</v>
      </c>
      <c r="F8" s="37" t="str">
        <f>+CIFMENSUALES[[#This Row],[CONCEPTO]]</f>
        <v>Gas</v>
      </c>
      <c r="G8" s="38"/>
      <c r="H8" s="38">
        <f>1-DISTRIBUCIONCIF[[#This Row],[Producción]]</f>
        <v>1</v>
      </c>
      <c r="J8" s="37" t="str">
        <f>+CIFMENSUALES[[#This Row],[CONCEPTO]]</f>
        <v>Gas</v>
      </c>
      <c r="K8" s="36">
        <f>CIFMENSUALES[[#This Row],[VALOR]]*DISTRIBUCIONCIF[[#This Row],[Producción]]</f>
        <v>0</v>
      </c>
    </row>
    <row r="9" spans="3:11" x14ac:dyDescent="0.25">
      <c r="C9" s="37" t="s">
        <v>65</v>
      </c>
      <c r="D9" s="36"/>
      <c r="F9" s="37" t="str">
        <f>+CIFMENSUALES[[#This Row],[CONCEPTO]]</f>
        <v>Agua</v>
      </c>
      <c r="G9" s="38"/>
      <c r="H9" s="38">
        <f>1-DISTRIBUCIONCIF[[#This Row],[Producción]]</f>
        <v>1</v>
      </c>
      <c r="J9" s="37" t="str">
        <f>+CIFMENSUALES[[#This Row],[CONCEPTO]]</f>
        <v>Agua</v>
      </c>
      <c r="K9" s="36">
        <f>CIFMENSUALES[[#This Row],[VALOR]]*DISTRIBUCIONCIF[[#This Row],[Producción]]</f>
        <v>0</v>
      </c>
    </row>
    <row r="10" spans="3:11" x14ac:dyDescent="0.25">
      <c r="C10" s="37" t="s">
        <v>66</v>
      </c>
      <c r="D10" s="36"/>
      <c r="F10" s="37" t="str">
        <f>+CIFMENSUALES[[#This Row],[CONCEPTO]]</f>
        <v>Utiles de aseo</v>
      </c>
      <c r="G10" s="38"/>
      <c r="H10" s="38">
        <f>1-DISTRIBUCIONCIF[[#This Row],[Producción]]</f>
        <v>1</v>
      </c>
      <c r="J10" s="37" t="str">
        <f>+CIFMENSUALES[[#This Row],[CONCEPTO]]</f>
        <v>Utiles de aseo</v>
      </c>
      <c r="K10" s="36">
        <f>CIFMENSUALES[[#This Row],[VALOR]]*DISTRIBUCIONCIF[[#This Row],[Producción]]</f>
        <v>0</v>
      </c>
    </row>
    <row r="11" spans="3:11" x14ac:dyDescent="0.25">
      <c r="C11" s="37" t="s">
        <v>67</v>
      </c>
      <c r="D11" s="36"/>
      <c r="F11" s="37" t="str">
        <f>+CIFMENSUALES[[#This Row],[CONCEPTO]]</f>
        <v>Teléfono</v>
      </c>
      <c r="G11" s="38"/>
      <c r="H11" s="38">
        <f>1-DISTRIBUCIONCIF[[#This Row],[Producción]]</f>
        <v>1</v>
      </c>
      <c r="J11" s="37" t="str">
        <f>+CIFMENSUALES[[#This Row],[CONCEPTO]]</f>
        <v>Teléfono</v>
      </c>
      <c r="K11" s="36">
        <f>CIFMENSUALES[[#This Row],[VALOR]]*DISTRIBUCIONCIF[[#This Row],[Producción]]</f>
        <v>0</v>
      </c>
    </row>
    <row r="12" spans="3:11" x14ac:dyDescent="0.25">
      <c r="C12" s="37" t="s">
        <v>68</v>
      </c>
      <c r="D12" s="36"/>
      <c r="F12" s="37" t="str">
        <f>+CIFMENSUALES[[#This Row],[CONCEPTO]]</f>
        <v>Internet</v>
      </c>
      <c r="G12" s="38"/>
      <c r="H12" s="38">
        <f>1-DISTRIBUCIONCIF[[#This Row],[Producción]]</f>
        <v>1</v>
      </c>
      <c r="J12" s="37" t="str">
        <f>+CIFMENSUALES[[#This Row],[CONCEPTO]]</f>
        <v>Internet</v>
      </c>
      <c r="K12" s="36">
        <f>CIFMENSUALES[[#This Row],[VALOR]]*DISTRIBUCIONCIF[[#This Row],[Producción]]</f>
        <v>0</v>
      </c>
    </row>
    <row r="13" spans="3:11" x14ac:dyDescent="0.25">
      <c r="C13" s="37" t="s">
        <v>69</v>
      </c>
      <c r="D13" s="36"/>
      <c r="F13" s="37" t="str">
        <f>+CIFMENSUALES[[#This Row],[CONCEPTO]]</f>
        <v>Desechables</v>
      </c>
      <c r="G13" s="38"/>
      <c r="H13" s="38">
        <f>1-DISTRIBUCIONCIF[[#This Row],[Producción]]</f>
        <v>1</v>
      </c>
      <c r="J13" s="37" t="str">
        <f>+CIFMENSUALES[[#This Row],[CONCEPTO]]</f>
        <v>Desechables</v>
      </c>
      <c r="K13" s="36">
        <f>CIFMENSUALES[[#This Row],[VALOR]]*DISTRIBUCIONCIF[[#This Row],[Producción]]</f>
        <v>0</v>
      </c>
    </row>
    <row r="14" spans="3:11" x14ac:dyDescent="0.25">
      <c r="C14" s="37" t="s">
        <v>70</v>
      </c>
      <c r="D14" s="36"/>
      <c r="F14" s="37" t="str">
        <f>+CIFMENSUALES[[#This Row],[CONCEPTO]]</f>
        <v>Impuesto</v>
      </c>
      <c r="G14" s="38"/>
      <c r="H14" s="38">
        <f>1-DISTRIBUCIONCIF[[#This Row],[Producción]]</f>
        <v>1</v>
      </c>
      <c r="J14" s="37" t="str">
        <f>+CIFMENSUALES[[#This Row],[CONCEPTO]]</f>
        <v>Impuesto</v>
      </c>
      <c r="K14" s="36">
        <f>CIFMENSUALES[[#This Row],[VALOR]]*DISTRIBUCIONCIF[[#This Row],[Producción]]</f>
        <v>0</v>
      </c>
    </row>
    <row r="15" spans="3:11" x14ac:dyDescent="0.25">
      <c r="C15" s="37" t="s">
        <v>71</v>
      </c>
      <c r="D15" s="36"/>
      <c r="F15" s="37" t="str">
        <f>+CIFMENSUALES[[#This Row],[CONCEPTO]]</f>
        <v>Mantenimiento</v>
      </c>
      <c r="G15" s="38"/>
      <c r="H15" s="38">
        <f>1-DISTRIBUCIONCIF[[#This Row],[Producción]]</f>
        <v>1</v>
      </c>
      <c r="J15" s="37" t="str">
        <f>+CIFMENSUALES[[#This Row],[CONCEPTO]]</f>
        <v>Mantenimiento</v>
      </c>
      <c r="K15" s="36">
        <f>CIFMENSUALES[[#This Row],[VALOR]]*DISTRIBUCIONCIF[[#This Row],[Producción]]</f>
        <v>0</v>
      </c>
    </row>
    <row r="16" spans="3:11" x14ac:dyDescent="0.25">
      <c r="C16" s="37" t="s">
        <v>87</v>
      </c>
      <c r="D16" s="36"/>
      <c r="F16" s="37" t="str">
        <f>+CIFMENSUALES[[#This Row],[CONCEPTO]]</f>
        <v>Vigilancia</v>
      </c>
      <c r="G16" s="38"/>
      <c r="H16" s="38">
        <f>1-DISTRIBUCIONCIF[[#This Row],[Producción]]</f>
        <v>1</v>
      </c>
      <c r="J16" s="37" t="str">
        <f>+CIFMENSUALES[[#This Row],[CONCEPTO]]</f>
        <v>Vigilancia</v>
      </c>
      <c r="K16" s="36">
        <f>CIFMENSUALES[[#This Row],[VALOR]]*DISTRIBUCIONCIF[[#This Row],[Producción]]</f>
        <v>0</v>
      </c>
    </row>
  </sheetData>
  <mergeCells count="4">
    <mergeCell ref="C3:D3"/>
    <mergeCell ref="F4:H4"/>
    <mergeCell ref="J4:K4"/>
    <mergeCell ref="C1:H1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BF07B-7DFB-42D0-AF70-3AFA4B101E44}">
  <dimension ref="A2:E9"/>
  <sheetViews>
    <sheetView showGridLines="0" workbookViewId="0">
      <selection activeCell="B2" sqref="B2"/>
    </sheetView>
  </sheetViews>
  <sheetFormatPr baseColWidth="10" defaultRowHeight="15" x14ac:dyDescent="0.25"/>
  <cols>
    <col min="1" max="1" width="27" customWidth="1"/>
    <col min="2" max="2" width="16" customWidth="1"/>
    <col min="4" max="4" width="29.42578125" customWidth="1"/>
    <col min="5" max="5" width="29.28515625" customWidth="1"/>
    <col min="7" max="7" width="21" customWidth="1"/>
  </cols>
  <sheetData>
    <row r="2" spans="1:5" x14ac:dyDescent="0.25">
      <c r="A2" s="31" t="s">
        <v>77</v>
      </c>
      <c r="B2" s="47">
        <f>CIF!K2/'Mano de obra'!L2</f>
        <v>9.9385903537126244E-2</v>
      </c>
    </row>
    <row r="4" spans="1:5" ht="31.5" x14ac:dyDescent="0.5">
      <c r="E4" s="63">
        <f>+B9</f>
        <v>14560.899666666666</v>
      </c>
    </row>
    <row r="5" spans="1:5" ht="15.75" x14ac:dyDescent="0.25">
      <c r="A5" s="78" t="s">
        <v>82</v>
      </c>
      <c r="B5" s="78"/>
    </row>
    <row r="6" spans="1:5" ht="15.75" x14ac:dyDescent="0.25">
      <c r="A6" s="49" t="s">
        <v>78</v>
      </c>
      <c r="B6" s="50">
        <f>+'Materia prima'!G6</f>
        <v>8096.666666666667</v>
      </c>
    </row>
    <row r="7" spans="1:5" ht="15.75" x14ac:dyDescent="0.25">
      <c r="A7" s="49" t="s">
        <v>79</v>
      </c>
      <c r="B7" s="51">
        <f>+'Mano de obra'!G6</f>
        <v>5879.8579999999993</v>
      </c>
    </row>
    <row r="8" spans="1:5" ht="15.75" x14ac:dyDescent="0.25">
      <c r="A8" s="49" t="s">
        <v>80</v>
      </c>
      <c r="B8" s="51">
        <f>B7*B2</f>
        <v>584.375</v>
      </c>
    </row>
    <row r="9" spans="1:5" ht="15.75" x14ac:dyDescent="0.25">
      <c r="A9" s="61" t="s">
        <v>76</v>
      </c>
      <c r="B9" s="62">
        <f>SUM(B6:B8)</f>
        <v>14560.899666666666</v>
      </c>
    </row>
  </sheetData>
  <mergeCells count="1">
    <mergeCell ref="A5: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INICIO</vt:lpstr>
      <vt:lpstr>Lista de precios</vt:lpstr>
      <vt:lpstr>Materia prima</vt:lpstr>
      <vt:lpstr>Mano de obra</vt:lpstr>
      <vt:lpstr>CIF</vt:lpstr>
      <vt:lpstr>RESULTADOS</vt:lpstr>
      <vt:lpstr>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SISTEMAA</dc:creator>
  <cp:lastModifiedBy>Carlos Parrado</cp:lastModifiedBy>
  <dcterms:created xsi:type="dcterms:W3CDTF">2022-12-01T18:57:40Z</dcterms:created>
  <dcterms:modified xsi:type="dcterms:W3CDTF">2024-08-20T20:45:09Z</dcterms:modified>
</cp:coreProperties>
</file>